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ahdbonline-my.sharepoint.com/personal/jo_hawke_ahdb_org_uk/Documents/Documents/Grain store monitoring/"/>
    </mc:Choice>
  </mc:AlternateContent>
  <xr:revisionPtr revIDLastSave="526" documentId="8_{2994B81D-CB56-42E6-86E0-5E27A61518CD}" xr6:coauthVersionLast="47" xr6:coauthVersionMax="47" xr10:uidLastSave="{4C7480F7-F498-42F7-A166-8DC4DEBD0EB2}"/>
  <workbookProtection workbookAlgorithmName="SHA-512" workbookHashValue="XPgHVayWb6kCau/q9PybJtDGMUllrmgy9JpkD9E2cgOQuuBIRez7IijemSgmB619FYDMf9lAsiwJ0LJMHMqyyg==" workbookSaltValue="3KxQhb8hwmHEK/7xyG5XaA==" workbookSpinCount="100000" lockStructure="1"/>
  <bookViews>
    <workbookView xWindow="28680" yWindow="30" windowWidth="29040" windowHeight="15720" activeTab="2" xr2:uid="{ACC834F6-E796-4589-A1F6-EF8CA722FA83}"/>
  </bookViews>
  <sheets>
    <sheet name="Introduction To Calculator" sheetId="3" r:id="rId1"/>
    <sheet name="How to use SSTC" sheetId="5" r:id="rId2"/>
    <sheet name="Data Entry" sheetId="2" r:id="rId3"/>
    <sheet name="Graph" sheetId="4" state="hidden" r:id="rId4"/>
    <sheet name="Storage calculator" sheetId="1" state="hidden" r:id="rId5"/>
  </sheets>
  <definedNames>
    <definedName name="GermMatrix">'Storage calculator'!$I$97:$AT$105</definedName>
    <definedName name="InsectMatrix">'Storage calculator'!$AW$97:$BU$102</definedName>
    <definedName name="MiteMatrix">'Storage calculator'!$AJ$108:$BJ$114</definedName>
    <definedName name="MouldMatrix">'Storage calculator'!$I$108:$AE$115</definedName>
    <definedName name="_xlnm.Print_Area" localSheetId="2">'Data Entry'!$A$1:$L$25</definedName>
    <definedName name="_xlnm.Print_Area" localSheetId="3">Graph!$A$1:$T$59</definedName>
    <definedName name="_xlnm.Print_Area" localSheetId="1">'How to use SSTC'!$A$1:$A$3</definedName>
    <definedName name="_xlnm.Print_Area" localSheetId="0">'Introduction To Calculator'!$A$3</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7" i="2"/>
  <c r="A20" i="1"/>
  <c r="O20" i="1" s="1"/>
  <c r="A22" i="1"/>
  <c r="O22" i="1" s="1"/>
  <c r="A24" i="1"/>
  <c r="O24" i="1" s="1"/>
  <c r="A26" i="1"/>
  <c r="O26" i="1" s="1"/>
  <c r="A28" i="1"/>
  <c r="O28" i="1" s="1"/>
  <c r="A30" i="1"/>
  <c r="O30" i="1" s="1"/>
  <c r="A32" i="1"/>
  <c r="O32" i="1" s="1"/>
  <c r="A34" i="1"/>
  <c r="O34" i="1" s="1"/>
  <c r="A36" i="1"/>
  <c r="O36" i="1" s="1"/>
  <c r="A38" i="1"/>
  <c r="O38" i="1" s="1"/>
  <c r="A40" i="1"/>
  <c r="O40" i="1" s="1"/>
  <c r="A42" i="1"/>
  <c r="O42" i="1" s="1"/>
  <c r="A44" i="1"/>
  <c r="O44" i="1" s="1"/>
  <c r="A46" i="1"/>
  <c r="O46" i="1" s="1"/>
  <c r="E6" i="2"/>
  <c r="E8" i="2"/>
  <c r="E9" i="2"/>
  <c r="E10" i="2"/>
  <c r="E11" i="2"/>
  <c r="E12" i="2"/>
  <c r="E13" i="2"/>
  <c r="E14" i="2"/>
  <c r="E15" i="2"/>
  <c r="E16" i="2"/>
  <c r="E17" i="2"/>
  <c r="E18" i="2"/>
  <c r="E19" i="2"/>
  <c r="E20" i="2"/>
  <c r="E21" i="2"/>
  <c r="E22" i="2"/>
  <c r="E23" i="2"/>
  <c r="A50" i="1"/>
  <c r="O50" i="1" s="1"/>
  <c r="O51" i="1" s="1"/>
  <c r="B50" i="1"/>
  <c r="B51" i="1"/>
  <c r="A48" i="1"/>
  <c r="O48" i="1" s="1"/>
  <c r="B49" i="1"/>
  <c r="J49" i="1" s="1"/>
  <c r="B48" i="1"/>
  <c r="J48" i="1" s="1"/>
  <c r="B10" i="1"/>
  <c r="K10" i="1" s="1"/>
  <c r="B11" i="1"/>
  <c r="K11" i="1" s="1"/>
  <c r="B12" i="1"/>
  <c r="K12" i="1" s="1"/>
  <c r="B13" i="1"/>
  <c r="K13" i="1" s="1"/>
  <c r="A14" i="1"/>
  <c r="O14" i="1" s="1"/>
  <c r="B14" i="1"/>
  <c r="M14" i="1" s="1"/>
  <c r="B15" i="1"/>
  <c r="M15" i="1" s="1"/>
  <c r="A16" i="1"/>
  <c r="O16" i="1" s="1"/>
  <c r="B16" i="1"/>
  <c r="D16" i="1" s="1"/>
  <c r="B17" i="1"/>
  <c r="J17" i="1" s="1"/>
  <c r="A18" i="1"/>
  <c r="O18" i="1" s="1"/>
  <c r="B18" i="1"/>
  <c r="M18" i="1" s="1"/>
  <c r="B19" i="1"/>
  <c r="K19" i="1" s="1"/>
  <c r="B20" i="1"/>
  <c r="D20" i="1" s="1"/>
  <c r="B21" i="1"/>
  <c r="L21" i="1" s="1"/>
  <c r="B22" i="1"/>
  <c r="C22" i="1" s="1"/>
  <c r="E22" i="1" s="1"/>
  <c r="B23" i="1"/>
  <c r="L23" i="1" s="1"/>
  <c r="B24" i="1"/>
  <c r="M24" i="1" s="1"/>
  <c r="B25" i="1"/>
  <c r="J25" i="1" s="1"/>
  <c r="B26" i="1"/>
  <c r="K26" i="1" s="1"/>
  <c r="B27" i="1"/>
  <c r="M27" i="1" s="1"/>
  <c r="B28" i="1"/>
  <c r="K28" i="1" s="1"/>
  <c r="B29" i="1"/>
  <c r="J29" i="1" s="1"/>
  <c r="B30" i="1"/>
  <c r="J30" i="1" s="1"/>
  <c r="B31" i="1"/>
  <c r="J31" i="1" s="1"/>
  <c r="B32" i="1"/>
  <c r="J32" i="1" s="1"/>
  <c r="B33" i="1"/>
  <c r="M33" i="1" s="1"/>
  <c r="B34" i="1"/>
  <c r="K34" i="1" s="1"/>
  <c r="B35" i="1"/>
  <c r="K35" i="1" s="1"/>
  <c r="B36" i="1"/>
  <c r="K36" i="1" s="1"/>
  <c r="B37" i="1"/>
  <c r="K37" i="1" s="1"/>
  <c r="B38" i="1"/>
  <c r="C38" i="1" s="1"/>
  <c r="E38" i="1" s="1"/>
  <c r="B39" i="1"/>
  <c r="J39" i="1" s="1"/>
  <c r="B40" i="1"/>
  <c r="K40" i="1" s="1"/>
  <c r="B41" i="1"/>
  <c r="K41" i="1" s="1"/>
  <c r="B42" i="1"/>
  <c r="C42" i="1" s="1"/>
  <c r="E42" i="1" s="1"/>
  <c r="B43" i="1"/>
  <c r="L43" i="1" s="1"/>
  <c r="B44" i="1"/>
  <c r="J44" i="1" s="1"/>
  <c r="B45" i="1"/>
  <c r="J45" i="1" s="1"/>
  <c r="B46" i="1"/>
  <c r="K46" i="1" s="1"/>
  <c r="B47" i="1"/>
  <c r="K47" i="1" s="1"/>
  <c r="E4" i="2" l="1"/>
  <c r="F4" i="2" s="1"/>
  <c r="A10" i="1"/>
  <c r="O10" i="1" s="1"/>
  <c r="A12" i="1"/>
  <c r="O12" i="1" s="1"/>
  <c r="Q46" i="1"/>
  <c r="M50" i="1"/>
  <c r="L50" i="1"/>
  <c r="K50" i="1"/>
  <c r="J50" i="1"/>
  <c r="D50" i="1"/>
  <c r="F50" i="1" s="1"/>
  <c r="C50" i="1"/>
  <c r="E50" i="1" s="1"/>
  <c r="M51" i="1"/>
  <c r="L51" i="1"/>
  <c r="K51" i="1"/>
  <c r="J51" i="1"/>
  <c r="T50" i="1"/>
  <c r="T51" i="1" s="1"/>
  <c r="W50" i="1"/>
  <c r="W51" i="1" s="1"/>
  <c r="U50" i="1"/>
  <c r="U51" i="1" s="1"/>
  <c r="V50" i="1"/>
  <c r="V51" i="1" s="1"/>
  <c r="O49" i="1"/>
  <c r="O47" i="1"/>
  <c r="F23" i="2" s="1"/>
  <c r="K21" i="1"/>
  <c r="J21" i="1"/>
  <c r="M16" i="1"/>
  <c r="M21" i="1"/>
  <c r="J20" i="1"/>
  <c r="M20" i="1"/>
  <c r="L20" i="1"/>
  <c r="R20" i="1" s="1"/>
  <c r="C20" i="1"/>
  <c r="E20" i="1" s="1"/>
  <c r="K20" i="1"/>
  <c r="J16" i="1"/>
  <c r="O43" i="1"/>
  <c r="F21" i="2" s="1"/>
  <c r="O39" i="1"/>
  <c r="F19" i="2" s="1"/>
  <c r="M46" i="1"/>
  <c r="L46" i="1"/>
  <c r="M42" i="1"/>
  <c r="L32" i="1"/>
  <c r="C32" i="1"/>
  <c r="E32" i="1" s="1"/>
  <c r="J27" i="1"/>
  <c r="L24" i="1"/>
  <c r="C24" i="1"/>
  <c r="E24" i="1" s="1"/>
  <c r="K24" i="1"/>
  <c r="L25" i="1"/>
  <c r="M17" i="1"/>
  <c r="L17" i="1"/>
  <c r="K17" i="1"/>
  <c r="L16" i="1"/>
  <c r="C16" i="1"/>
  <c r="E16" i="1" s="1"/>
  <c r="K16" i="1"/>
  <c r="C12" i="1"/>
  <c r="E12" i="1" s="1"/>
  <c r="M11" i="1"/>
  <c r="L10" i="1"/>
  <c r="D24" i="1"/>
  <c r="F24" i="1" s="1"/>
  <c r="K23" i="1"/>
  <c r="K44" i="1"/>
  <c r="D18" i="1"/>
  <c r="F18" i="1" s="1"/>
  <c r="K32" i="1"/>
  <c r="J19" i="1"/>
  <c r="L41" i="1"/>
  <c r="J18" i="1"/>
  <c r="J35" i="1"/>
  <c r="D32" i="1"/>
  <c r="F32" i="1" s="1"/>
  <c r="C18" i="1"/>
  <c r="E18" i="1" s="1"/>
  <c r="D44" i="1"/>
  <c r="F44" i="1" s="1"/>
  <c r="M26" i="1"/>
  <c r="S26" i="1" s="1"/>
  <c r="L35" i="1"/>
  <c r="C26" i="1"/>
  <c r="E26" i="1" s="1"/>
  <c r="M28" i="1"/>
  <c r="K18" i="1"/>
  <c r="Q18" i="1" s="1"/>
  <c r="J28" i="1"/>
  <c r="M44" i="1"/>
  <c r="J41" i="1"/>
  <c r="O19" i="1"/>
  <c r="F9" i="2" s="1"/>
  <c r="M35" i="1"/>
  <c r="J24" i="1"/>
  <c r="L19" i="1"/>
  <c r="L18" i="1"/>
  <c r="M38" i="1"/>
  <c r="C30" i="1"/>
  <c r="E30" i="1" s="1"/>
  <c r="M40" i="1"/>
  <c r="L40" i="1"/>
  <c r="L36" i="1"/>
  <c r="M30" i="1"/>
  <c r="L26" i="1"/>
  <c r="J14" i="1"/>
  <c r="L42" i="1"/>
  <c r="R42" i="1" s="1"/>
  <c r="J40" i="1"/>
  <c r="O15" i="1"/>
  <c r="F7" i="2" s="1"/>
  <c r="D48" i="1"/>
  <c r="F48" i="1" s="1"/>
  <c r="C46" i="1"/>
  <c r="E46" i="1" s="1"/>
  <c r="O33" i="1"/>
  <c r="F16" i="2" s="1"/>
  <c r="L31" i="1"/>
  <c r="M22" i="1"/>
  <c r="K48" i="1"/>
  <c r="J33" i="1"/>
  <c r="C48" i="1"/>
  <c r="E48" i="1" s="1"/>
  <c r="D38" i="1"/>
  <c r="F38" i="1" s="1"/>
  <c r="G38" i="1" s="1"/>
  <c r="P38" i="1" s="1"/>
  <c r="M48" i="1"/>
  <c r="O37" i="1"/>
  <c r="F18" i="2" s="1"/>
  <c r="O21" i="1"/>
  <c r="F10" i="2" s="1"/>
  <c r="M19" i="1"/>
  <c r="S18" i="1" s="1"/>
  <c r="L14" i="1"/>
  <c r="L48" i="1"/>
  <c r="L37" i="1"/>
  <c r="D26" i="1"/>
  <c r="F26" i="1" s="1"/>
  <c r="J23" i="1"/>
  <c r="K14" i="1"/>
  <c r="O31" i="1"/>
  <c r="F15" i="2" s="1"/>
  <c r="J46" i="1"/>
  <c r="L38" i="1"/>
  <c r="M23" i="1"/>
  <c r="C14" i="1"/>
  <c r="E14" i="1" s="1"/>
  <c r="K38" i="1"/>
  <c r="M31" i="1"/>
  <c r="O45" i="1"/>
  <c r="F22" i="2" s="1"/>
  <c r="M45" i="1"/>
  <c r="D46" i="1"/>
  <c r="F46" i="1" s="1"/>
  <c r="L45" i="1"/>
  <c r="C44" i="1"/>
  <c r="E44" i="1" s="1"/>
  <c r="D42" i="1"/>
  <c r="F42" i="1" s="1"/>
  <c r="G42" i="1" s="1"/>
  <c r="P42" i="1" s="1"/>
  <c r="J36" i="1"/>
  <c r="L34" i="1"/>
  <c r="K31" i="1"/>
  <c r="L22" i="1"/>
  <c r="R22" i="1" s="1"/>
  <c r="J47" i="1"/>
  <c r="C28" i="1"/>
  <c r="E28" i="1" s="1"/>
  <c r="M47" i="1"/>
  <c r="K45" i="1"/>
  <c r="J34" i="1"/>
  <c r="K22" i="1"/>
  <c r="O17" i="1"/>
  <c r="F8" i="2" s="1"/>
  <c r="L27" i="1"/>
  <c r="J26" i="1"/>
  <c r="J22" i="1"/>
  <c r="J43" i="1"/>
  <c r="K27" i="1"/>
  <c r="Q26" i="1" s="1"/>
  <c r="M49" i="1"/>
  <c r="L44" i="1"/>
  <c r="J37" i="1"/>
  <c r="O35" i="1"/>
  <c r="F17" i="2" s="1"/>
  <c r="Q34" i="1"/>
  <c r="O29" i="1"/>
  <c r="F14" i="2" s="1"/>
  <c r="D22" i="1"/>
  <c r="F22" i="1" s="1"/>
  <c r="G22" i="1" s="1"/>
  <c r="P22" i="1" s="1"/>
  <c r="L49" i="1"/>
  <c r="K49" i="1"/>
  <c r="L47" i="1"/>
  <c r="M43" i="1"/>
  <c r="M41" i="1"/>
  <c r="K39" i="1"/>
  <c r="M37" i="1"/>
  <c r="Q36" i="1"/>
  <c r="O23" i="1"/>
  <c r="F11" i="2" s="1"/>
  <c r="O41" i="1"/>
  <c r="F20" i="2" s="1"/>
  <c r="Q40" i="1"/>
  <c r="O25" i="1"/>
  <c r="F12" i="2" s="1"/>
  <c r="O27" i="1"/>
  <c r="F13" i="2" s="1"/>
  <c r="K30" i="1"/>
  <c r="K25" i="1"/>
  <c r="F16" i="1"/>
  <c r="K29" i="1"/>
  <c r="Q28" i="1" s="1"/>
  <c r="M25" i="1"/>
  <c r="S24" i="1" s="1"/>
  <c r="L33" i="1"/>
  <c r="D28" i="1"/>
  <c r="F28" i="1" s="1"/>
  <c r="K42" i="1"/>
  <c r="J38" i="1"/>
  <c r="M32" i="1"/>
  <c r="S32" i="1" s="1"/>
  <c r="M29" i="1"/>
  <c r="F20" i="1"/>
  <c r="L15" i="1"/>
  <c r="K33" i="1"/>
  <c r="J42" i="1"/>
  <c r="D30" i="1"/>
  <c r="F30" i="1" s="1"/>
  <c r="L29" i="1"/>
  <c r="L30" i="1"/>
  <c r="M34" i="1"/>
  <c r="L28" i="1"/>
  <c r="D40" i="1"/>
  <c r="F40" i="1" s="1"/>
  <c r="M39" i="1"/>
  <c r="L39" i="1"/>
  <c r="D36" i="1"/>
  <c r="F36" i="1" s="1"/>
  <c r="C34" i="1"/>
  <c r="E34" i="1" s="1"/>
  <c r="J15" i="1"/>
  <c r="K15" i="1"/>
  <c r="C40" i="1"/>
  <c r="E40" i="1" s="1"/>
  <c r="M36" i="1"/>
  <c r="C36" i="1"/>
  <c r="E36" i="1" s="1"/>
  <c r="D34" i="1"/>
  <c r="F34" i="1" s="1"/>
  <c r="K43" i="1"/>
  <c r="S14" i="1"/>
  <c r="D14" i="1"/>
  <c r="F14" i="1" s="1"/>
  <c r="M10" i="1"/>
  <c r="J10" i="1"/>
  <c r="L13" i="1"/>
  <c r="J13" i="1"/>
  <c r="Q12" i="1"/>
  <c r="M13" i="1"/>
  <c r="D12" i="1"/>
  <c r="F12" i="1" s="1"/>
  <c r="J12" i="1"/>
  <c r="M12" i="1"/>
  <c r="L12" i="1"/>
  <c r="L11" i="1"/>
  <c r="J11" i="1"/>
  <c r="Q10" i="1"/>
  <c r="I4" i="2" s="1"/>
  <c r="D10" i="1"/>
  <c r="F10" i="1" s="1"/>
  <c r="C10" i="1"/>
  <c r="E10" i="1" s="1"/>
  <c r="V48" i="1" l="1"/>
  <c r="V49" i="1" s="1"/>
  <c r="R14" i="1"/>
  <c r="S20" i="1"/>
  <c r="Q22" i="1"/>
  <c r="U46" i="1"/>
  <c r="G50" i="1"/>
  <c r="P50" i="1" s="1"/>
  <c r="Q20" i="1"/>
  <c r="S16" i="1"/>
  <c r="Q48" i="1"/>
  <c r="G20" i="1"/>
  <c r="P20" i="1" s="1"/>
  <c r="S50" i="1"/>
  <c r="R50" i="1"/>
  <c r="Q50" i="1"/>
  <c r="R40" i="1"/>
  <c r="G32" i="1"/>
  <c r="P32" i="1" s="1"/>
  <c r="S40" i="1"/>
  <c r="W40" i="1" s="1"/>
  <c r="R34" i="1"/>
  <c r="R48" i="1"/>
  <c r="G28" i="1"/>
  <c r="P28" i="1" s="1"/>
  <c r="W32" i="1"/>
  <c r="S46" i="1"/>
  <c r="W46" i="1" s="1"/>
  <c r="R32" i="1"/>
  <c r="Q32" i="1"/>
  <c r="Q24" i="1"/>
  <c r="G16" i="1"/>
  <c r="P16" i="1" s="1"/>
  <c r="S36" i="1"/>
  <c r="W36" i="1" s="1"/>
  <c r="R30" i="1"/>
  <c r="Q30" i="1"/>
  <c r="G18" i="1"/>
  <c r="P18" i="1" s="1"/>
  <c r="W48" i="1"/>
  <c r="W49" i="1" s="1"/>
  <c r="R46" i="1"/>
  <c r="G30" i="1"/>
  <c r="P30" i="1" s="1"/>
  <c r="R26" i="1"/>
  <c r="R24" i="1"/>
  <c r="G24" i="1"/>
  <c r="P24" i="1" s="1"/>
  <c r="R16" i="1"/>
  <c r="G14" i="1"/>
  <c r="P14" i="1" s="1"/>
  <c r="S10" i="1"/>
  <c r="K4" i="2" s="1"/>
  <c r="Q44" i="1"/>
  <c r="S42" i="1"/>
  <c r="W42" i="1" s="1"/>
  <c r="Q16" i="1"/>
  <c r="R10" i="1"/>
  <c r="Q14" i="1"/>
  <c r="G12" i="1"/>
  <c r="P12" i="1" s="1"/>
  <c r="S30" i="1"/>
  <c r="W30" i="1" s="1"/>
  <c r="W31" i="1" s="1"/>
  <c r="S28" i="1"/>
  <c r="W28" i="1" s="1"/>
  <c r="S34" i="1"/>
  <c r="R38" i="1"/>
  <c r="S44" i="1"/>
  <c r="W44" i="1" s="1"/>
  <c r="G48" i="1"/>
  <c r="P48" i="1" s="1"/>
  <c r="G46" i="1"/>
  <c r="P46" i="1" s="1"/>
  <c r="T46" i="1" s="1"/>
  <c r="S22" i="1"/>
  <c r="S48" i="1"/>
  <c r="G26" i="1"/>
  <c r="P26" i="1" s="1"/>
  <c r="G44" i="1"/>
  <c r="P44" i="1" s="1"/>
  <c r="R36" i="1"/>
  <c r="S38" i="1"/>
  <c r="W38" i="1" s="1"/>
  <c r="Q38" i="1"/>
  <c r="R18" i="1"/>
  <c r="U48" i="1"/>
  <c r="U49" i="1" s="1"/>
  <c r="T48" i="1"/>
  <c r="T49" i="1" s="1"/>
  <c r="R44" i="1"/>
  <c r="G40" i="1"/>
  <c r="P40" i="1" s="1"/>
  <c r="R28" i="1"/>
  <c r="G34" i="1"/>
  <c r="P34" i="1" s="1"/>
  <c r="G36" i="1"/>
  <c r="P36" i="1" s="1"/>
  <c r="Q42" i="1"/>
  <c r="W26" i="1"/>
  <c r="G10" i="1"/>
  <c r="P10" i="1" s="1"/>
  <c r="H4" i="2" s="1"/>
  <c r="R12" i="1"/>
  <c r="S12" i="1"/>
  <c r="U47" i="1" l="1"/>
  <c r="W39" i="1"/>
  <c r="W29" i="1"/>
  <c r="J4" i="2"/>
  <c r="G4" i="2" s="1"/>
  <c r="T47" i="1"/>
  <c r="W47" i="1"/>
  <c r="W33" i="1"/>
  <c r="W45" i="1"/>
  <c r="W34" i="1"/>
  <c r="W35" i="1" s="1"/>
  <c r="W43" i="1"/>
  <c r="W41" i="1"/>
  <c r="W37" i="1"/>
  <c r="W27" i="1"/>
  <c r="T26" i="1" l="1"/>
  <c r="T27" i="1" s="1"/>
  <c r="T28" i="1"/>
  <c r="T29" i="1" s="1"/>
  <c r="T30" i="1"/>
  <c r="T31" i="1" s="1"/>
  <c r="T32" i="1"/>
  <c r="T33" i="1" s="1"/>
  <c r="T34" i="1"/>
  <c r="T35" i="1" s="1"/>
  <c r="T36" i="1"/>
  <c r="T37" i="1" s="1"/>
  <c r="T38" i="1"/>
  <c r="T39" i="1" s="1"/>
  <c r="T40" i="1"/>
  <c r="T41" i="1" s="1"/>
  <c r="T42" i="1"/>
  <c r="T43" i="1" s="1"/>
  <c r="T44" i="1"/>
  <c r="T45" i="1" s="1"/>
  <c r="O13" i="1"/>
  <c r="O11" i="1"/>
  <c r="V10" i="1" l="1"/>
  <c r="V11" i="1" s="1"/>
  <c r="F5" i="2"/>
  <c r="U10" i="1"/>
  <c r="U11" i="1" s="1"/>
  <c r="F6" i="2"/>
  <c r="W10" i="1"/>
  <c r="W11" i="1" s="1"/>
  <c r="T10" i="1"/>
  <c r="T11" i="1" s="1"/>
  <c r="I5" i="2" l="1"/>
  <c r="U12" i="1"/>
  <c r="U13" i="1" s="1"/>
  <c r="H5" i="2"/>
  <c r="H6" i="2" s="1"/>
  <c r="T12" i="1"/>
  <c r="T13" i="1" s="1"/>
  <c r="T14" i="1" s="1"/>
  <c r="T15" i="1" s="1"/>
  <c r="T16" i="1" s="1"/>
  <c r="T17" i="1" s="1"/>
  <c r="T18" i="1" s="1"/>
  <c r="T19" i="1" s="1"/>
  <c r="T20" i="1" s="1"/>
  <c r="T21" i="1" s="1"/>
  <c r="T22" i="1" s="1"/>
  <c r="T23" i="1" s="1"/>
  <c r="T24" i="1" s="1"/>
  <c r="T25" i="1" s="1"/>
  <c r="K5" i="2"/>
  <c r="W12" i="1"/>
  <c r="W13" i="1" s="1"/>
  <c r="J5" i="2"/>
  <c r="V12" i="1"/>
  <c r="V13" i="1" s="1"/>
  <c r="U14" i="1" l="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I6" i="2"/>
  <c r="K6" i="2"/>
  <c r="W14" i="1"/>
  <c r="W15" i="1" s="1"/>
  <c r="W16" i="1" s="1"/>
  <c r="W17" i="1" s="1"/>
  <c r="W18" i="1" s="1"/>
  <c r="W19" i="1" s="1"/>
  <c r="W20" i="1" s="1"/>
  <c r="W21" i="1" s="1"/>
  <c r="W22" i="1" s="1"/>
  <c r="W23" i="1" s="1"/>
  <c r="W24" i="1" s="1"/>
  <c r="W25" i="1" s="1"/>
  <c r="J6" i="2"/>
  <c r="V14" i="1"/>
  <c r="V15" i="1" s="1"/>
  <c r="G5" i="2"/>
  <c r="K7" i="2"/>
  <c r="H7" i="2"/>
  <c r="I7" i="2"/>
  <c r="G6" i="2" l="1"/>
  <c r="V16" i="1"/>
  <c r="V17" i="1" s="1"/>
  <c r="J7" i="2"/>
  <c r="G7" i="2" s="1"/>
  <c r="I8" i="2"/>
  <c r="H8" i="2"/>
  <c r="K8" i="2"/>
  <c r="V18" i="1" l="1"/>
  <c r="V19" i="1" s="1"/>
  <c r="J8" i="2"/>
  <c r="K9" i="2"/>
  <c r="G8" i="2"/>
  <c r="H9" i="2"/>
  <c r="I9" i="2"/>
  <c r="V20" i="1" l="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J9" i="2"/>
  <c r="H10" i="2"/>
  <c r="I10" i="2"/>
  <c r="K10" i="2"/>
  <c r="J10" i="2"/>
  <c r="G9" i="2"/>
  <c r="G10" i="2" l="1"/>
  <c r="I11" i="2"/>
  <c r="K11" i="2"/>
  <c r="J11" i="2"/>
  <c r="H11" i="2"/>
  <c r="H12" i="2" l="1"/>
  <c r="J12" i="2"/>
  <c r="G11" i="2"/>
  <c r="I12" i="2"/>
  <c r="K12" i="2"/>
  <c r="K13" i="2" l="1"/>
  <c r="I13" i="2"/>
  <c r="H13" i="2"/>
  <c r="K14" i="2" s="1"/>
  <c r="J13" i="2"/>
  <c r="G12" i="2"/>
  <c r="I14" i="2" l="1"/>
  <c r="G13" i="2"/>
  <c r="J14" i="2"/>
  <c r="H14" i="2"/>
  <c r="I15" i="2" s="1"/>
  <c r="H15" i="2" l="1"/>
  <c r="K15" i="2"/>
  <c r="G14" i="2"/>
  <c r="J15" i="2"/>
  <c r="G15" i="2" l="1"/>
  <c r="H16" i="2"/>
  <c r="J16" i="2"/>
  <c r="I16" i="2"/>
  <c r="K16" i="2"/>
  <c r="G16" i="2" l="1"/>
  <c r="J17" i="2"/>
  <c r="I17" i="2"/>
  <c r="K17" i="2"/>
  <c r="H17" i="2"/>
  <c r="H18" i="2" l="1"/>
  <c r="J18" i="2"/>
  <c r="I18" i="2"/>
  <c r="K18" i="2"/>
  <c r="G17" i="2"/>
  <c r="G18" i="2" l="1"/>
  <c r="K19" i="2"/>
  <c r="I19" i="2"/>
  <c r="H19" i="2"/>
  <c r="J19" i="2"/>
  <c r="H20" i="2" l="1"/>
  <c r="J20" i="2"/>
  <c r="K20" i="2"/>
  <c r="I20" i="2"/>
  <c r="G19" i="2"/>
  <c r="I21" i="2" l="1"/>
  <c r="K21" i="2"/>
  <c r="H21" i="2"/>
  <c r="G20" i="2"/>
  <c r="J21" i="2"/>
  <c r="J22" i="2" l="1"/>
  <c r="H22" i="2"/>
  <c r="K22" i="2"/>
  <c r="I22" i="2"/>
  <c r="G21" i="2"/>
  <c r="J23" i="2" l="1"/>
  <c r="I23" i="2"/>
  <c r="K23" i="2"/>
  <c r="H23" i="2"/>
  <c r="G23" i="2" s="1"/>
  <c r="G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author>
    <author>Jon Knight</author>
  </authors>
  <commentList>
    <comment ref="I105" authorId="0" shapeId="0" xr:uid="{E9C32EEF-CC2D-4EC1-87BA-0D40DC506C04}">
      <text>
        <r>
          <rPr>
            <b/>
            <sz val="10"/>
            <color indexed="81"/>
            <rFont val="Tahoma"/>
            <family val="2"/>
          </rPr>
          <t>Knight:</t>
        </r>
        <r>
          <rPr>
            <sz val="10"/>
            <color indexed="81"/>
            <rFont val="Tahoma"/>
            <family val="2"/>
          </rPr>
          <t xml:space="preserve">
Highlight shows values added to cover all temp MC combinations</t>
        </r>
      </text>
    </comment>
    <comment ref="I115" authorId="0" shapeId="0" xr:uid="{98374EEA-6045-41D9-B126-66507879045D}">
      <text>
        <r>
          <rPr>
            <b/>
            <sz val="10"/>
            <color indexed="81"/>
            <rFont val="Tahoma"/>
            <family val="2"/>
          </rPr>
          <t>Knight:</t>
        </r>
        <r>
          <rPr>
            <sz val="10"/>
            <color indexed="81"/>
            <rFont val="Tahoma"/>
            <family val="2"/>
          </rPr>
          <t xml:space="preserve">
Highlight shows values added to cover all temp MC combinations</t>
        </r>
      </text>
    </comment>
    <comment ref="I118" authorId="1" shapeId="0" xr:uid="{FFBD7A73-A7D8-44A4-B224-7ACF215B0F4F}">
      <text>
        <r>
          <rPr>
            <b/>
            <sz val="8"/>
            <color indexed="81"/>
            <rFont val="Tahoma"/>
            <family val="2"/>
          </rPr>
          <t>Jon Knight:</t>
        </r>
        <r>
          <rPr>
            <sz val="10"/>
            <color indexed="81"/>
            <rFont val="Tahoma"/>
            <family val="2"/>
          </rPr>
          <t xml:space="preserve">
The only cells you can change are the five dates and the temp and MC for each of them.  At the moment only five sets of data can be entered but this can be expanded if required.  The logic is that you use up the time and cannot get it back i.e. you use up your safe storage days   I am not sure if this is correct.  The effect is linear i.e. you use a proportion of your time according to how long it was stored at a particular temp/mc combination.  This is very much a first cut and we can change it as required.  It does, I hope, give aa fell for what it might look like and function like</t>
        </r>
      </text>
    </comment>
    <comment ref="V130" authorId="0" shapeId="0" xr:uid="{77B72015-5C7C-4E52-9874-4695911838E2}">
      <text>
        <r>
          <rPr>
            <b/>
            <sz val="10"/>
            <color indexed="81"/>
            <rFont val="Tahoma"/>
            <family val="2"/>
          </rPr>
          <t>Knight:</t>
        </r>
        <r>
          <rPr>
            <sz val="10"/>
            <color indexed="81"/>
            <rFont val="Tahoma"/>
            <family val="2"/>
          </rPr>
          <t xml:space="preserve">
Highlight shows values added to cover all temp MC combinations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<sst xmlns="http://schemas.openxmlformats.org/spreadsheetml/2006/main" count="209" uniqueCount="113">
  <si>
    <t>Date</t>
  </si>
  <si>
    <t>Mould</t>
  </si>
  <si>
    <t>Germination</t>
  </si>
  <si>
    <t>Insects</t>
  </si>
  <si>
    <t>Mites</t>
  </si>
  <si>
    <t>Days elapsed</t>
  </si>
  <si>
    <t>Total storage days</t>
  </si>
  <si>
    <t>Input Temp</t>
  </si>
  <si>
    <t>Input MC</t>
  </si>
  <si>
    <t>Param A</t>
  </si>
  <si>
    <t>Param B</t>
  </si>
  <si>
    <t>RH</t>
  </si>
  <si>
    <t>Germ</t>
  </si>
  <si>
    <t>Date 1</t>
  </si>
  <si>
    <t xml:space="preserve">Temp </t>
  </si>
  <si>
    <t>Safe storage period 1</t>
  </si>
  <si>
    <t>% of safe period used</t>
  </si>
  <si>
    <t>MC column</t>
  </si>
  <si>
    <t>Days in period 1</t>
  </si>
  <si>
    <t>Remaining safe time</t>
  </si>
  <si>
    <t>Date 2</t>
  </si>
  <si>
    <t>Safe storage period 2</t>
  </si>
  <si>
    <t>Days in period 2</t>
  </si>
  <si>
    <t>Date 3</t>
  </si>
  <si>
    <t>Safe storage period 3</t>
  </si>
  <si>
    <t>Days in period 3</t>
  </si>
  <si>
    <t>Date 4</t>
  </si>
  <si>
    <t>Safe storage period 4</t>
  </si>
  <si>
    <t>Days in period 4</t>
  </si>
  <si>
    <t>Date 5</t>
  </si>
  <si>
    <t>Safe storage period 5</t>
  </si>
  <si>
    <t>Days in period 5</t>
  </si>
  <si>
    <t>Date 6</t>
  </si>
  <si>
    <t>Safe storage period 6</t>
  </si>
  <si>
    <t>Days in period 6</t>
  </si>
  <si>
    <t>Date 7</t>
  </si>
  <si>
    <t>Safe storage period 7</t>
  </si>
  <si>
    <t>Days in period 7</t>
  </si>
  <si>
    <t>Date 8</t>
  </si>
  <si>
    <t>Safe storage period 8</t>
  </si>
  <si>
    <t>Days in period 8</t>
  </si>
  <si>
    <t>Date 9</t>
  </si>
  <si>
    <t>Safe storage period 9</t>
  </si>
  <si>
    <t>Days in period 9</t>
  </si>
  <si>
    <t>Date 10</t>
  </si>
  <si>
    <t>Safe storage period 10</t>
  </si>
  <si>
    <t>Days in period 10</t>
  </si>
  <si>
    <t>Date 11</t>
  </si>
  <si>
    <t>Safe storage period 11</t>
  </si>
  <si>
    <t>Days in period 11</t>
  </si>
  <si>
    <t>Date 12</t>
  </si>
  <si>
    <t>Safe storage period 12</t>
  </si>
  <si>
    <t>Days in period 12</t>
  </si>
  <si>
    <t>Date 13</t>
  </si>
  <si>
    <t>Safe storage period 13</t>
  </si>
  <si>
    <t>Days in period 13</t>
  </si>
  <si>
    <t>Date 14</t>
  </si>
  <si>
    <t>Safe storage period 14</t>
  </si>
  <si>
    <t>Days in period 14</t>
  </si>
  <si>
    <t>Date 15</t>
  </si>
  <si>
    <t>Safe storage period 15</t>
  </si>
  <si>
    <t>Days in period 15</t>
  </si>
  <si>
    <t>Date 16</t>
  </si>
  <si>
    <t>Safe storage period 16</t>
  </si>
  <si>
    <t>Days in period 16</t>
  </si>
  <si>
    <t>Date 17</t>
  </si>
  <si>
    <t>Safe storage period 17</t>
  </si>
  <si>
    <t>Days in period 17</t>
  </si>
  <si>
    <t>Date 18</t>
  </si>
  <si>
    <t>Safe storage period 18</t>
  </si>
  <si>
    <t>Days in period 18</t>
  </si>
  <si>
    <t>Date 19</t>
  </si>
  <si>
    <t>Safe storage period 19</t>
  </si>
  <si>
    <t>Days in period 19</t>
  </si>
  <si>
    <t>Date 20</t>
  </si>
  <si>
    <t>Safe storage period 20</t>
  </si>
  <si>
    <t>Days in period 20</t>
  </si>
  <si>
    <t>Temp</t>
  </si>
  <si>
    <t>temp</t>
  </si>
  <si>
    <t>MC</t>
  </si>
  <si>
    <t>Mould data</t>
  </si>
  <si>
    <t>Mould MC</t>
  </si>
  <si>
    <t>Germ MC</t>
  </si>
  <si>
    <t>Insects MC</t>
  </si>
  <si>
    <t>Mites MC</t>
  </si>
  <si>
    <t>Overall safe storage period (days)</t>
  </si>
  <si>
    <t>How to use the safe storage time calculator (SSTC) for cereals</t>
  </si>
  <si>
    <t>The safe storage time calculator (SSTC) for cereals</t>
  </si>
  <si>
    <t>Data entry sheet</t>
  </si>
  <si>
    <t>About the safe storage time calculator (SSTC) for cereals</t>
  </si>
  <si>
    <t>Limitations:
This tool was based on the best available data and modelling at the time of publication. However, it has not been validated by practical trials and experiments.  
This tool does not provide definitive predictions but conservative indications. In other words, it tends to overestimate the development rate of any potential problem.
With respect to mycotoxin risk, it assumes the presence of Penicillium verrucosum strains capable of producing ochratoxin A.
Although the SSTC can be used for long-term storage, it is not designed for this purpose.</t>
  </si>
  <si>
    <t>Date 21</t>
  </si>
  <si>
    <t>Safe storage period 21</t>
  </si>
  <si>
    <t>Days in period 21</t>
  </si>
  <si>
    <t xml:space="preserve">Entry Number </t>
  </si>
  <si>
    <t xml:space="preserve">Date </t>
  </si>
  <si>
    <t>Moisture content (%)</t>
  </si>
  <si>
    <t>Germination Risk (days remaining)</t>
  </si>
  <si>
    <t>Insects risk (days remaining)</t>
  </si>
  <si>
    <t>Mite Risk (days remaning)</t>
  </si>
  <si>
    <t>Mould / ochratoxin A (OTA) Risk (days remaining)</t>
  </si>
  <si>
    <t>Temperature (°C)</t>
  </si>
  <si>
    <r>
      <t>Initially the result is presented in a Bold black font until zero safe storage time remains, when White Bold font in a red cell is displayed (</t>
    </r>
    <r>
      <rPr>
        <sz val="12"/>
        <color rgb="FFFF0000"/>
        <rFont val="Ubuntu"/>
        <family val="2"/>
      </rPr>
      <t>██████</t>
    </r>
    <r>
      <rPr>
        <sz val="12"/>
        <rFont val="Ubuntu"/>
        <family val="2"/>
      </rPr>
      <t>). When this occurs, test grain for the risk factor(s) where the safe storage period has been exceeded to confirm whether the indicated risk is an actual problem.</t>
    </r>
  </si>
  <si>
    <r>
      <t>Enter the required information in the light blue cells (</t>
    </r>
    <r>
      <rPr>
        <sz val="12"/>
        <color rgb="FFDFEEFB"/>
        <rFont val="Ubuntu"/>
        <family val="2"/>
      </rPr>
      <t>██████</t>
    </r>
    <r>
      <rPr>
        <sz val="12"/>
        <rFont val="Ubuntu"/>
        <family val="2"/>
      </rPr>
      <t>) in the Data Entry sheet</t>
    </r>
  </si>
  <si>
    <t>Name</t>
  </si>
  <si>
    <t>Assurance No.</t>
  </si>
  <si>
    <t>Commodity</t>
  </si>
  <si>
    <t>Signature</t>
  </si>
  <si>
    <t>Location</t>
  </si>
  <si>
    <t xml:space="preserve">Farm Data </t>
  </si>
  <si>
    <t>.</t>
  </si>
  <si>
    <r>
      <t xml:space="preserve">Use this calculator straight after harvest to identify grain batches at elevated risk of spoilage. It can indicate the safe storage period and help prioritise grain drying and cooling.
</t>
    </r>
    <r>
      <rPr>
        <b/>
        <sz val="11"/>
        <rFont val="Ubuntu"/>
        <family val="2"/>
      </rPr>
      <t xml:space="preserve">What's on the two tabs?
</t>
    </r>
    <r>
      <rPr>
        <sz val="11"/>
        <rFont val="Ubuntu"/>
        <family val="2"/>
      </rPr>
      <t xml:space="preserve">
How to use SSTC tab: Learn how to use the tool and interpret the results.
Data entry tab: Enter the required data in the light blue boxes which are the only unlocked cells, starting on row B4.
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
Reference herein to trade names and proprietary products without stating that they are protected does not imply that they may be regarded as unprotected and thus free for general use. No endorsement of named products is intended, nor is any criticism implied of other alternative, but unnamed, products.
AHDB Cereals &amp; Oilseeds is a part of the Agriculture and Horticulture Development Board (AHDB).
The safe storage time calculator was developed as part of an AHDB-funded project lead by Jon Knight (Imperial College London), David Armitage (Central Science Laboratory) and Robin Wilkin. This version 1.1 (revised in spring 2006 and rebranded in 2026).</t>
    </r>
  </si>
  <si>
    <r>
      <t>Use this calculator straight after harvest to identify grain batches at elevated risk of spoilage. It can indicate the safe storage period and help prioritise grain drying and cooling.
Enter the required information in the unlocked light blue cells (</t>
    </r>
    <r>
      <rPr>
        <sz val="12"/>
        <color rgb="FFA0D0F8"/>
        <rFont val="Ubuntu"/>
        <family val="2"/>
      </rPr>
      <t>██████</t>
    </r>
    <r>
      <rPr>
        <sz val="12"/>
        <rFont val="Ubuntu"/>
        <family val="2"/>
      </rPr>
      <t>) in the Data Entry sheet starting at call B4:
1. Starting at cell B4, enter the monitoring period start date and grain temperature and moisture content data (for a single sampling point*).
2. Repeat step 1 for additional monitoring periods (starting with box 2).
3. Enter farm data into Table2 starting at cell B27.
The tool estimates the remaining safe storage time (in days) for all risk factors: mould/ochratoxin A (OTA), germination (germinative capacity) and pests (insects and mites). 
It also indicates the overall shortest safe storage period (in days). Initially the result is presented in a black font until zero safe storage time remains, when Bold White font in a red cell is displayed (</t>
    </r>
    <r>
      <rPr>
        <sz val="12"/>
        <color rgb="FFFF0000"/>
        <rFont val="Ubuntu"/>
        <family val="2"/>
      </rPr>
      <t>██████</t>
    </r>
    <r>
      <rPr>
        <sz val="12"/>
        <rFont val="Ubuntu"/>
        <family val="2"/>
      </rPr>
      <t>). When this occurs, test grain for the risk factor(s) where the safe storage period has been exceeded to confirm whether the indicated risk is an actual problem.
The maximum display value is 100 days, which represents the safest storage period (actually values may be above this).
When grain is warm and moist, increase monitoring-period frequency.
*For additional sampling points, simply create additional copies of this calculator (use a different file name each time).
Consider printing results to provide a hard-copy record. For further guidance, visit ahdb.org.uk/grain-storage
If you are unsure about any aspect associated with the use or interpretation of this calculator, consult your grain storage adviser.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</si>
</sst>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9" x14ac:knownFonts="1">
    <font>
      <sz val="10"/>
      <name val="Arial"/>
    </font>
    <font>
      <sz val="8"/>
      <name val="Arial"/>
      <family val="2"/>
    </font>
    <font>
      <sz val="10"/>
      <color indexed="8"/>
      <name val="Arial"/>
      <family val="2"/>
    </font>
    <font>
      <sz val="10"/>
      <color indexed="81"/>
      <name val="Tahoma"/>
      <family val="2"/>
    </font>
    <font>
      <b/>
      <sz val="10"/>
      <color indexed="81"/>
      <name val="Tahoma"/>
      <family val="2"/>
    </font>
    <font>
      <b/>
      <sz val="9"/>
      <name val="Arial"/>
      <family val="2"/>
    </font>
    <font>
      <sz val="9"/>
      <name val="Arial"/>
      <family val="2"/>
    </font>
    <font>
      <sz val="9"/>
      <name val="Arial"/>
      <family val="2"/>
    </font>
    <font>
      <sz val="9"/>
      <color indexed="8"/>
      <name val="Arial"/>
      <family val="2"/>
    </font>
    <font>
      <sz val="9"/>
      <color indexed="10"/>
      <name val="Arial"/>
      <family val="2"/>
    </font>
    <font>
      <b/>
      <sz val="9"/>
      <color indexed="10"/>
      <name val="Arial"/>
      <family val="2"/>
    </font>
    <font>
      <sz val="9"/>
      <color indexed="17"/>
      <name val="Arial"/>
      <family val="2"/>
    </font>
    <font>
      <sz val="8"/>
      <name val="Arial"/>
      <family val="2"/>
    </font>
    <font>
      <sz val="8"/>
      <color indexed="10"/>
      <name val="Arial"/>
      <family val="2"/>
    </font>
    <font>
      <sz val="8"/>
      <color indexed="17"/>
      <name val="Arial"/>
      <family val="2"/>
    </font>
    <font>
      <sz val="8"/>
      <color indexed="8"/>
      <name val="Arial"/>
      <family val="2"/>
    </font>
    <font>
      <b/>
      <sz val="8"/>
      <name val="Arial"/>
      <family val="2"/>
    </font>
    <font>
      <b/>
      <sz val="8"/>
      <name val="Times New Roman"/>
      <family val="1"/>
    </font>
    <font>
      <b/>
      <sz val="8"/>
      <color indexed="17"/>
      <name val="Arial"/>
      <family val="2"/>
    </font>
    <font>
      <b/>
      <sz val="8"/>
      <color indexed="81"/>
      <name val="Tahoma"/>
      <family val="2"/>
    </font>
    <font>
      <b/>
      <sz val="10"/>
      <name val="Arial"/>
      <family val="2"/>
    </font>
    <font>
      <sz val="12"/>
      <name val="Times New Roman"/>
      <family val="1"/>
    </font>
    <font>
      <i/>
      <sz val="8"/>
      <name val="Arial"/>
      <family val="2"/>
    </font>
    <font>
      <sz val="12"/>
      <name val="Ubuntu"/>
      <family val="2"/>
    </font>
    <font>
      <sz val="24"/>
      <color rgb="FF0090D4"/>
      <name val="Ubuntu"/>
      <family val="2"/>
    </font>
    <font>
      <sz val="12"/>
      <color indexed="42"/>
      <name val="Ubuntu"/>
      <family val="2"/>
    </font>
    <font>
      <sz val="24"/>
      <name val="Ubuntu"/>
      <family val="2"/>
    </font>
    <font>
      <b/>
      <sz val="24"/>
      <color rgb="FF0090D4"/>
      <name val="Ubuntu"/>
      <family val="2"/>
    </font>
    <font>
      <b/>
      <sz val="24"/>
      <name val="Ubuntu"/>
      <family val="2"/>
    </font>
    <font>
      <b/>
      <sz val="12"/>
      <color theme="0"/>
      <name val="Ubuntu"/>
      <family val="2"/>
    </font>
    <font>
      <sz val="11"/>
      <name val="Ubuntu"/>
      <family val="2"/>
    </font>
    <font>
      <b/>
      <sz val="11"/>
      <name val="Ubuntu"/>
      <family val="2"/>
    </font>
    <font>
      <sz val="12"/>
      <color rgb="FFA0D0F8"/>
      <name val="Ubuntu"/>
      <family val="2"/>
    </font>
    <font>
      <b/>
      <sz val="12"/>
      <color theme="0"/>
      <name val="Arial"/>
      <family val="2"/>
    </font>
    <font>
      <sz val="12"/>
      <name val="Arial"/>
      <family val="2"/>
    </font>
    <font>
      <sz val="12"/>
      <color rgb="FFFF0000"/>
      <name val="Ubuntu"/>
      <family val="2"/>
    </font>
    <font>
      <sz val="12"/>
      <color rgb="FFDFEEFB"/>
      <name val="Ubuntu"/>
      <family val="2"/>
    </font>
    <font>
      <sz val="12"/>
      <color theme="1"/>
      <name val="Ubuntu"/>
      <family val="2"/>
    </font>
    <font>
      <b/>
      <sz val="12"/>
      <color rgb="FF0090D4"/>
      <name val="Ubuntu"/>
      <family val="2"/>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0090D4"/>
        <bgColor indexed="64"/>
      </patternFill>
    </fill>
    <fill>
      <patternFill patternType="solid">
        <fgColor rgb="FFDFEEFB"/>
        <bgColor indexed="64"/>
      </patternFill>
    </fill>
    <fill>
      <patternFill patternType="solid">
        <fgColor rgb="FFA0D0F8"/>
        <bgColor indexed="64"/>
      </patternFill>
    </fill>
  </fills>
  <borders count="30">
    <border>
      <left/>
      <right/>
      <top/>
      <bottom/>
      <diagonal/>
    </border>
    <border>
      <left style="thin">
        <color indexed="64"/>
      </left>
      <right/>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theme="0"/>
      </right>
      <top/>
      <bottom/>
      <diagonal/>
    </border>
    <border>
      <left style="medium">
        <color rgb="FF0090D4"/>
      </left>
      <right style="thin">
        <color theme="2" tint="-0.499984740745262"/>
      </right>
      <top style="medium">
        <color rgb="FF0090D4"/>
      </top>
      <bottom style="thin">
        <color theme="2" tint="-0.499984740745262"/>
      </bottom>
      <diagonal/>
    </border>
    <border>
      <left style="thin">
        <color theme="2" tint="-0.499984740745262"/>
      </left>
      <right style="thin">
        <color theme="2" tint="-0.499984740745262"/>
      </right>
      <top style="medium">
        <color rgb="FF0090D4"/>
      </top>
      <bottom style="thin">
        <color theme="2" tint="-0.499984740745262"/>
      </bottom>
      <diagonal/>
    </border>
    <border>
      <left style="thin">
        <color theme="2" tint="-0.499984740745262"/>
      </left>
      <right style="medium">
        <color rgb="FF0090D4"/>
      </right>
      <top style="medium">
        <color rgb="FF0090D4"/>
      </top>
      <bottom style="thin">
        <color theme="2" tint="-0.499984740745262"/>
      </bottom>
      <diagonal/>
    </border>
    <border>
      <left style="medium">
        <color rgb="FF0090D4"/>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rgb="FF0090D4"/>
      </right>
      <top style="thin">
        <color theme="2" tint="-0.499984740745262"/>
      </top>
      <bottom style="thin">
        <color theme="2" tint="-0.499984740745262"/>
      </bottom>
      <diagonal/>
    </border>
    <border>
      <left style="medium">
        <color rgb="FF0090D4"/>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medium">
        <color rgb="FF0090D4"/>
      </right>
      <top style="thin">
        <color theme="2" tint="-0.499984740745262"/>
      </top>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medium">
        <color rgb="FF0090D4"/>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90D4"/>
      </top>
      <bottom style="thin">
        <color theme="2" tint="-0.499984740745262"/>
      </bottom>
      <diagonal/>
    </border>
    <border>
      <left style="medium">
        <color indexed="64"/>
      </left>
      <right style="medium">
        <color indexed="64"/>
      </right>
      <top style="thin">
        <color theme="2" tint="-0.499984740745262"/>
      </top>
      <bottom style="thin">
        <color theme="2" tint="-0.499984740745262"/>
      </bottom>
      <diagonal/>
    </border>
    <border>
      <left style="medium">
        <color indexed="64"/>
      </left>
      <right style="medium">
        <color indexed="64"/>
      </right>
      <top style="thin">
        <color theme="2" tint="-0.499984740745262"/>
      </top>
      <bottom style="medium">
        <color indexed="64"/>
      </bottom>
      <diagonal/>
    </border>
    <border>
      <left/>
      <right style="thin">
        <color theme="0"/>
      </right>
      <top style="thin">
        <color theme="4"/>
      </top>
      <bottom/>
      <diagonal/>
    </border>
    <border>
      <left style="thin">
        <color theme="4"/>
      </left>
      <right style="thin">
        <color theme="0"/>
      </right>
      <top/>
      <bottom/>
      <diagonal/>
    </border>
  </borders>
  <cellStyleXfs count="2">
    <xf numFmtId="0" fontId="0" fillId="0" borderId="0"/>
    <xf numFmtId="0" fontId="2" fillId="0" borderId="0"/>
  </cellStyleXfs>
  <cellXfs count="138">
    <xf numFmtId="0" fontId="0" fillId="0" borderId="0" xfId="0"/>
    <xf numFmtId="0" fontId="0" fillId="8" borderId="0" xfId="0" applyFill="1"/>
    <xf numFmtId="0" fontId="0" fillId="8" borderId="0" xfId="0" applyFill="1" applyAlignment="1">
      <alignment vertical="top" wrapText="1"/>
    </xf>
    <xf numFmtId="0" fontId="21" fillId="9" borderId="0" xfId="0" applyFont="1" applyFill="1" applyAlignment="1">
      <alignment vertical="top" wrapText="1"/>
    </xf>
    <xf numFmtId="0" fontId="0" fillId="9" borderId="0" xfId="0" applyFill="1" applyAlignment="1">
      <alignment vertical="top" wrapText="1"/>
    </xf>
    <xf numFmtId="0" fontId="24" fillId="9" borderId="0" xfId="0" applyFont="1" applyFill="1" applyAlignment="1">
      <alignment vertical="top" wrapText="1"/>
    </xf>
    <xf numFmtId="0" fontId="23" fillId="9" borderId="0" xfId="0" applyFont="1" applyFill="1" applyAlignment="1">
      <alignment vertical="top" wrapText="1"/>
    </xf>
    <xf numFmtId="0" fontId="0" fillId="9" borderId="0" xfId="0" applyFill="1"/>
    <xf numFmtId="0" fontId="30" fillId="8" borderId="0" xfId="0" applyFont="1" applyFill="1" applyAlignment="1">
      <alignment wrapText="1"/>
    </xf>
    <xf numFmtId="14" fontId="23" fillId="11" borderId="14" xfId="0" applyNumberFormat="1" applyFont="1" applyFill="1" applyBorder="1" applyAlignment="1" applyProtection="1">
      <alignment horizontal="center" vertical="center"/>
      <protection locked="0"/>
    </xf>
    <xf numFmtId="14" fontId="23" fillId="11" borderId="17" xfId="0" applyNumberFormat="1" applyFont="1" applyFill="1" applyBorder="1" applyAlignment="1" applyProtection="1">
      <alignment horizontal="center" vertical="center"/>
      <protection locked="0"/>
    </xf>
    <xf numFmtId="0" fontId="27" fillId="0" borderId="0" xfId="0" applyFont="1" applyAlignment="1">
      <alignment vertical="center"/>
    </xf>
    <xf numFmtId="0" fontId="28" fillId="0" borderId="0" xfId="0" applyFont="1" applyAlignment="1">
      <alignment vertical="center"/>
    </xf>
    <xf numFmtId="0" fontId="23" fillId="0" borderId="0" xfId="0" applyFont="1"/>
    <xf numFmtId="0" fontId="25" fillId="0" borderId="0" xfId="0" applyFont="1"/>
    <xf numFmtId="0" fontId="24"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xf>
    <xf numFmtId="1" fontId="23" fillId="9" borderId="11" xfId="0" applyNumberFormat="1" applyFont="1" applyFill="1" applyBorder="1" applyAlignment="1">
      <alignment horizontal="center" vertical="center"/>
    </xf>
    <xf numFmtId="1" fontId="23" fillId="9" borderId="12" xfId="0" applyNumberFormat="1" applyFont="1" applyFill="1" applyBorder="1" applyAlignment="1">
      <alignment horizontal="center" vertical="center"/>
    </xf>
    <xf numFmtId="1" fontId="23" fillId="9" borderId="14" xfId="0" applyNumberFormat="1" applyFont="1" applyFill="1" applyBorder="1" applyAlignment="1">
      <alignment horizontal="center" vertical="center"/>
    </xf>
    <xf numFmtId="1" fontId="23" fillId="9" borderId="15" xfId="0" applyNumberFormat="1" applyFont="1" applyFill="1" applyBorder="1" applyAlignment="1">
      <alignment horizontal="center" vertical="center"/>
    </xf>
    <xf numFmtId="1" fontId="23" fillId="9" borderId="17" xfId="0" applyNumberFormat="1" applyFont="1" applyFill="1" applyBorder="1" applyAlignment="1">
      <alignment horizontal="center" vertical="center"/>
    </xf>
    <xf numFmtId="1" fontId="23" fillId="9" borderId="18" xfId="0" applyNumberFormat="1" applyFont="1" applyFill="1" applyBorder="1" applyAlignment="1">
      <alignment horizontal="center" vertical="center"/>
    </xf>
    <xf numFmtId="0" fontId="6" fillId="0" borderId="0" xfId="0" applyFont="1"/>
    <xf numFmtId="0" fontId="9" fillId="0" borderId="0" xfId="0" applyFont="1" applyAlignment="1">
      <alignment vertical="top" wrapText="1"/>
    </xf>
    <xf numFmtId="0" fontId="7" fillId="0" borderId="0" xfId="0" applyFont="1"/>
    <xf numFmtId="0" fontId="11" fillId="0" borderId="0" xfId="0" applyFont="1" applyAlignment="1">
      <alignment vertical="top" wrapText="1"/>
    </xf>
    <xf numFmtId="0" fontId="6" fillId="0" borderId="1" xfId="0" applyFont="1" applyBorder="1"/>
    <xf numFmtId="0" fontId="6" fillId="0" borderId="0" xfId="0" applyFont="1" applyAlignment="1">
      <alignment vertical="top" wrapText="1"/>
    </xf>
    <xf numFmtId="0" fontId="6" fillId="4" borderId="4" xfId="0" applyFont="1" applyFill="1" applyBorder="1"/>
    <xf numFmtId="0" fontId="6" fillId="4" borderId="5" xfId="0" applyFont="1" applyFill="1" applyBorder="1"/>
    <xf numFmtId="0" fontId="6" fillId="4" borderId="6" xfId="0" applyFont="1" applyFill="1" applyBorder="1"/>
    <xf numFmtId="14" fontId="6" fillId="3" borderId="0" xfId="0" applyNumberFormat="1" applyFont="1" applyFill="1"/>
    <xf numFmtId="0" fontId="9" fillId="3" borderId="0" xfId="0" applyFont="1" applyFill="1" applyAlignment="1">
      <alignment vertical="top" wrapText="1"/>
    </xf>
    <xf numFmtId="0" fontId="6" fillId="2" borderId="0" xfId="0" applyFont="1" applyFill="1"/>
    <xf numFmtId="0" fontId="6" fillId="2" borderId="0" xfId="0" applyFont="1" applyFill="1" applyAlignment="1">
      <alignment horizontal="right"/>
    </xf>
    <xf numFmtId="0" fontId="9" fillId="2" borderId="0" xfId="0" applyFont="1" applyFill="1" applyAlignment="1">
      <alignment vertical="top" wrapText="1"/>
    </xf>
    <xf numFmtId="0" fontId="6" fillId="4" borderId="0" xfId="0" applyFont="1" applyFill="1"/>
    <xf numFmtId="14" fontId="6" fillId="4" borderId="8" xfId="0" applyNumberFormat="1" applyFont="1" applyFill="1" applyBorder="1"/>
    <xf numFmtId="0" fontId="0" fillId="4" borderId="0" xfId="0" applyFill="1"/>
    <xf numFmtId="0" fontId="6" fillId="4" borderId="8" xfId="0" applyFont="1" applyFill="1" applyBorder="1"/>
    <xf numFmtId="165" fontId="6" fillId="4" borderId="8" xfId="0" applyNumberFormat="1" applyFont="1" applyFill="1" applyBorder="1"/>
    <xf numFmtId="0" fontId="11" fillId="3" borderId="0" xfId="0" applyFont="1" applyFill="1" applyAlignment="1">
      <alignment vertical="top" wrapText="1"/>
    </xf>
    <xf numFmtId="0" fontId="6" fillId="2" borderId="0" xfId="0" applyFont="1" applyFill="1" applyAlignment="1">
      <alignment vertical="top" wrapText="1"/>
    </xf>
    <xf numFmtId="1" fontId="6" fillId="4" borderId="1" xfId="0" applyNumberFormat="1" applyFont="1" applyFill="1" applyBorder="1"/>
    <xf numFmtId="0" fontId="6" fillId="4" borderId="1" xfId="0" applyFont="1" applyFill="1" applyBorder="1"/>
    <xf numFmtId="0" fontId="10" fillId="4" borderId="7" xfId="0" applyFont="1" applyFill="1" applyBorder="1"/>
    <xf numFmtId="0" fontId="10" fillId="4" borderId="0" xfId="0" applyFont="1" applyFill="1"/>
    <xf numFmtId="0" fontId="6" fillId="3" borderId="0" xfId="0" applyFont="1" applyFill="1"/>
    <xf numFmtId="0" fontId="6" fillId="3" borderId="0" xfId="0" applyFont="1" applyFill="1" applyAlignment="1">
      <alignment horizontal="right"/>
    </xf>
    <xf numFmtId="14" fontId="6" fillId="4" borderId="1" xfId="0" applyNumberFormat="1" applyFont="1" applyFill="1" applyBorder="1"/>
    <xf numFmtId="165" fontId="6" fillId="4" borderId="7" xfId="0" applyNumberFormat="1" applyFont="1" applyFill="1" applyBorder="1"/>
    <xf numFmtId="0" fontId="5" fillId="3" borderId="0" xfId="0" applyFont="1" applyFill="1"/>
    <xf numFmtId="0" fontId="6" fillId="3" borderId="0" xfId="0" applyFont="1" applyFill="1" applyAlignment="1">
      <alignment vertical="top" wrapText="1"/>
    </xf>
    <xf numFmtId="0" fontId="6" fillId="4" borderId="0" xfId="0" applyFont="1" applyFill="1" applyAlignment="1">
      <alignment horizontal="right"/>
    </xf>
    <xf numFmtId="0" fontId="9" fillId="4" borderId="0" xfId="0" applyFont="1" applyFill="1" applyAlignment="1">
      <alignment vertical="top" wrapText="1"/>
    </xf>
    <xf numFmtId="0" fontId="6" fillId="4" borderId="0" xfId="0" applyFont="1" applyFill="1" applyAlignment="1">
      <alignment vertical="top" wrapText="1"/>
    </xf>
    <xf numFmtId="0" fontId="9" fillId="3" borderId="0" xfId="0" applyFont="1" applyFill="1"/>
    <xf numFmtId="0" fontId="6" fillId="5" borderId="0" xfId="0" applyFont="1" applyFill="1"/>
    <xf numFmtId="0" fontId="6" fillId="5" borderId="0" xfId="0" applyFont="1" applyFill="1" applyAlignment="1">
      <alignment horizontal="right"/>
    </xf>
    <xf numFmtId="0" fontId="9" fillId="5" borderId="0" xfId="0" applyFont="1" applyFill="1" applyAlignment="1">
      <alignment vertical="top" wrapText="1"/>
    </xf>
    <xf numFmtId="0" fontId="11" fillId="3" borderId="0" xfId="0" applyFont="1" applyFill="1"/>
    <xf numFmtId="0" fontId="6" fillId="5" borderId="0" xfId="0" applyFont="1" applyFill="1" applyAlignment="1">
      <alignment vertical="top" wrapText="1"/>
    </xf>
    <xf numFmtId="0" fontId="6" fillId="6" borderId="0" xfId="0" applyFont="1" applyFill="1"/>
    <xf numFmtId="0" fontId="6" fillId="6" borderId="0" xfId="0" applyFont="1" applyFill="1" applyAlignment="1">
      <alignment horizontal="right"/>
    </xf>
    <xf numFmtId="0" fontId="9" fillId="6" borderId="0" xfId="0" applyFont="1" applyFill="1" applyAlignment="1">
      <alignment vertical="top" wrapText="1"/>
    </xf>
    <xf numFmtId="0" fontId="6" fillId="6" borderId="0" xfId="0" applyFont="1" applyFill="1" applyAlignment="1">
      <alignment vertical="top" wrapText="1"/>
    </xf>
    <xf numFmtId="2" fontId="9" fillId="3" borderId="0" xfId="0" applyNumberFormat="1" applyFont="1" applyFill="1"/>
    <xf numFmtId="2" fontId="11" fillId="3" borderId="0" xfId="0" applyNumberFormat="1" applyFont="1" applyFill="1"/>
    <xf numFmtId="0" fontId="12" fillId="0" borderId="0" xfId="0" applyFont="1"/>
    <xf numFmtId="0" fontId="1" fillId="3" borderId="0" xfId="0" applyFont="1" applyFill="1"/>
    <xf numFmtId="0" fontId="6" fillId="12" borderId="0" xfId="0" applyFont="1" applyFill="1"/>
    <xf numFmtId="0" fontId="6" fillId="12" borderId="0" xfId="0" applyFont="1" applyFill="1" applyAlignment="1">
      <alignment horizontal="right"/>
    </xf>
    <xf numFmtId="0" fontId="9" fillId="12" borderId="0" xfId="0" applyFont="1" applyFill="1" applyAlignment="1">
      <alignment vertical="top" wrapText="1"/>
    </xf>
    <xf numFmtId="0" fontId="6" fillId="12" borderId="0" xfId="0" applyFont="1" applyFill="1" applyAlignment="1">
      <alignment vertical="top" wrapText="1"/>
    </xf>
    <xf numFmtId="0" fontId="1" fillId="7" borderId="0" xfId="0" applyFont="1" applyFill="1"/>
    <xf numFmtId="0" fontId="1" fillId="0" borderId="0" xfId="0" applyFont="1"/>
    <xf numFmtId="0" fontId="13" fillId="0" borderId="0" xfId="0" applyFont="1" applyAlignment="1">
      <alignment vertical="top" wrapText="1"/>
    </xf>
    <xf numFmtId="0" fontId="13" fillId="0" borderId="0" xfId="0" applyFont="1"/>
    <xf numFmtId="0" fontId="1" fillId="0" borderId="0" xfId="0" applyFont="1" applyAlignment="1">
      <alignment vertical="top" wrapText="1"/>
    </xf>
    <xf numFmtId="0" fontId="14" fillId="0" borderId="0" xfId="0" applyFont="1" applyAlignment="1">
      <alignment vertical="top"/>
    </xf>
    <xf numFmtId="0" fontId="14" fillId="0" borderId="0" xfId="0" applyFont="1" applyAlignment="1">
      <alignment vertical="top" wrapText="1"/>
    </xf>
    <xf numFmtId="0" fontId="1" fillId="0" borderId="0" xfId="0" applyFont="1" applyAlignment="1">
      <alignment horizontal="center" wrapText="1"/>
    </xf>
    <xf numFmtId="0" fontId="1" fillId="7" borderId="0" xfId="0" applyFont="1" applyFill="1" applyAlignment="1">
      <alignment horizontal="center" vertical="top"/>
    </xf>
    <xf numFmtId="0" fontId="1" fillId="0" borderId="0" xfId="0" applyFont="1" applyAlignment="1">
      <alignment horizontal="center" vertical="top" wrapText="1"/>
    </xf>
    <xf numFmtId="0" fontId="13" fillId="0" borderId="0" xfId="0" applyFont="1" applyAlignment="1">
      <alignment wrapText="1"/>
    </xf>
    <xf numFmtId="0" fontId="13" fillId="0" borderId="0" xfId="0" applyFont="1" applyAlignment="1">
      <alignment horizontal="center" vertical="top" wrapText="1"/>
    </xf>
    <xf numFmtId="0" fontId="13" fillId="0" borderId="0" xfId="0" applyFont="1" applyAlignment="1">
      <alignment horizontal="center" wrapText="1"/>
    </xf>
    <xf numFmtId="1" fontId="13" fillId="0" borderId="0" xfId="0" applyNumberFormat="1" applyFont="1" applyAlignment="1">
      <alignment vertical="top" wrapText="1"/>
    </xf>
    <xf numFmtId="1" fontId="13" fillId="0" borderId="0" xfId="0" applyNumberFormat="1" applyFont="1" applyAlignment="1">
      <alignment vertical="top"/>
    </xf>
    <xf numFmtId="0" fontId="14" fillId="0" borderId="0" xfId="0" applyFont="1" applyAlignment="1">
      <alignment horizontal="right" vertical="top" wrapText="1"/>
    </xf>
    <xf numFmtId="0" fontId="15" fillId="0" borderId="0" xfId="1" applyFont="1" applyAlignment="1">
      <alignment horizontal="right" wrapText="1"/>
    </xf>
    <xf numFmtId="0" fontId="14" fillId="0" borderId="0" xfId="0" applyFont="1"/>
    <xf numFmtId="1" fontId="1" fillId="0" borderId="0" xfId="0" applyNumberFormat="1" applyFont="1" applyAlignment="1">
      <alignment vertical="top" wrapText="1"/>
    </xf>
    <xf numFmtId="1" fontId="1" fillId="0" borderId="0" xfId="0" applyNumberFormat="1" applyFont="1" applyAlignment="1">
      <alignment vertical="top"/>
    </xf>
    <xf numFmtId="0" fontId="14" fillId="0" borderId="0" xfId="0" applyFont="1" applyAlignment="1">
      <alignment horizontal="right" wrapText="1"/>
    </xf>
    <xf numFmtId="0" fontId="14" fillId="0" borderId="0" xfId="0" applyFont="1" applyAlignment="1">
      <alignment horizontal="right" vertical="top"/>
    </xf>
    <xf numFmtId="1" fontId="1" fillId="0" borderId="0" xfId="0" applyNumberFormat="1" applyFont="1" applyAlignment="1">
      <alignment horizontal="right"/>
    </xf>
    <xf numFmtId="1" fontId="1" fillId="0" borderId="0" xfId="0" applyNumberFormat="1" applyFont="1" applyAlignment="1">
      <alignment horizontal="right" vertical="top" wrapText="1"/>
    </xf>
    <xf numFmtId="0" fontId="14" fillId="0" borderId="0" xfId="0" applyFont="1" applyAlignment="1">
      <alignment horizontal="right"/>
    </xf>
    <xf numFmtId="0" fontId="16" fillId="0" borderId="0" xfId="0" applyFont="1" applyAlignment="1">
      <alignment vertical="top" wrapText="1"/>
    </xf>
    <xf numFmtId="0" fontId="20" fillId="0" borderId="0" xfId="0" applyFont="1"/>
    <xf numFmtId="0" fontId="0" fillId="0" borderId="0" xfId="0" applyAlignment="1">
      <alignment horizontal="right"/>
    </xf>
    <xf numFmtId="0" fontId="0" fillId="0" borderId="0" xfId="0" applyAlignment="1">
      <alignment horizontal="left"/>
    </xf>
    <xf numFmtId="0" fontId="8" fillId="0" borderId="0" xfId="1" applyFont="1" applyAlignment="1">
      <alignment horizontal="right" wrapText="1"/>
    </xf>
    <xf numFmtId="0" fontId="16" fillId="0" borderId="0" xfId="0" applyFont="1" applyAlignment="1">
      <alignment wrapText="1"/>
    </xf>
    <xf numFmtId="0" fontId="17" fillId="0" borderId="0" xfId="0" applyFont="1" applyAlignment="1">
      <alignment vertical="top" wrapText="1"/>
    </xf>
    <xf numFmtId="164" fontId="14" fillId="0" borderId="0" xfId="0" applyNumberFormat="1" applyFont="1" applyAlignment="1">
      <alignment vertical="top" wrapText="1"/>
    </xf>
    <xf numFmtId="164" fontId="18" fillId="0" borderId="0" xfId="0" applyNumberFormat="1" applyFont="1" applyAlignment="1">
      <alignment vertical="top"/>
    </xf>
    <xf numFmtId="164" fontId="14" fillId="0" borderId="0" xfId="0" applyNumberFormat="1" applyFont="1"/>
    <xf numFmtId="164" fontId="18" fillId="0" borderId="0" xfId="0" applyNumberFormat="1" applyFont="1" applyAlignment="1">
      <alignment vertical="top" wrapText="1"/>
    </xf>
    <xf numFmtId="164" fontId="14" fillId="0" borderId="0" xfId="0" applyNumberFormat="1" applyFont="1" applyAlignment="1">
      <alignment horizontal="right" vertical="top"/>
    </xf>
    <xf numFmtId="0" fontId="8" fillId="0" borderId="2" xfId="1" applyFont="1" applyBorder="1" applyAlignment="1">
      <alignment horizontal="right" wrapText="1"/>
    </xf>
    <xf numFmtId="0" fontId="8" fillId="0" borderId="3" xfId="1" applyFont="1" applyBorder="1" applyAlignment="1">
      <alignment horizontal="right" wrapText="1"/>
    </xf>
    <xf numFmtId="1" fontId="23" fillId="9" borderId="21" xfId="0" applyNumberFormat="1" applyFont="1" applyFill="1" applyBorder="1" applyAlignment="1">
      <alignment horizontal="center" vertical="center"/>
    </xf>
    <xf numFmtId="1" fontId="23" fillId="9" borderId="22" xfId="0" applyNumberFormat="1" applyFont="1" applyFill="1" applyBorder="1" applyAlignment="1">
      <alignment horizontal="center" vertical="center"/>
    </xf>
    <xf numFmtId="1" fontId="23" fillId="9" borderId="23" xfId="0" applyNumberFormat="1" applyFont="1" applyFill="1" applyBorder="1" applyAlignment="1">
      <alignment horizontal="center" vertical="center"/>
    </xf>
    <xf numFmtId="164" fontId="23" fillId="11" borderId="11" xfId="0" applyNumberFormat="1" applyFont="1" applyFill="1" applyBorder="1" applyAlignment="1" applyProtection="1">
      <alignment horizontal="center" vertical="center"/>
      <protection locked="0"/>
    </xf>
    <xf numFmtId="0" fontId="34" fillId="9" borderId="14" xfId="0" applyFont="1" applyFill="1" applyBorder="1" applyAlignment="1">
      <alignment horizontal="center"/>
    </xf>
    <xf numFmtId="1" fontId="34" fillId="9" borderId="19" xfId="0" applyNumberFormat="1" applyFont="1" applyFill="1" applyBorder="1" applyAlignment="1">
      <alignment horizontal="center"/>
    </xf>
    <xf numFmtId="164" fontId="23" fillId="11" borderId="14" xfId="0" applyNumberFormat="1" applyFont="1" applyFill="1" applyBorder="1" applyAlignment="1" applyProtection="1">
      <alignment horizontal="center" vertical="center"/>
      <protection locked="0"/>
    </xf>
    <xf numFmtId="1" fontId="34" fillId="9" borderId="20" xfId="0" applyNumberFormat="1" applyFont="1" applyFill="1" applyBorder="1" applyAlignment="1">
      <alignment horizontal="center"/>
    </xf>
    <xf numFmtId="164" fontId="23" fillId="11" borderId="17" xfId="0" applyNumberFormat="1" applyFont="1" applyFill="1" applyBorder="1" applyAlignment="1" applyProtection="1">
      <alignment horizontal="center" vertical="center"/>
      <protection locked="0"/>
    </xf>
    <xf numFmtId="0" fontId="29" fillId="10" borderId="9" xfId="0" applyFont="1" applyFill="1" applyBorder="1" applyAlignment="1">
      <alignment horizontal="center" wrapText="1"/>
    </xf>
    <xf numFmtId="0" fontId="33" fillId="10" borderId="0" xfId="0" applyFont="1" applyFill="1" applyAlignment="1">
      <alignment horizontal="center" wrapText="1"/>
    </xf>
    <xf numFmtId="0" fontId="29" fillId="10" borderId="24" xfId="0" applyFont="1" applyFill="1" applyBorder="1" applyAlignment="1">
      <alignment horizontal="center" wrapText="1"/>
    </xf>
    <xf numFmtId="0" fontId="23" fillId="9" borderId="10" xfId="0" applyFont="1" applyFill="1" applyBorder="1" applyAlignment="1">
      <alignment horizontal="center" vertical="center"/>
    </xf>
    <xf numFmtId="0" fontId="23" fillId="9" borderId="13" xfId="0" applyFont="1" applyFill="1" applyBorder="1" applyAlignment="1">
      <alignment horizontal="center" vertical="center"/>
    </xf>
    <xf numFmtId="0" fontId="23" fillId="9" borderId="16" xfId="0" applyFont="1" applyFill="1" applyBorder="1" applyAlignment="1">
      <alignment horizontal="center" vertical="center"/>
    </xf>
    <xf numFmtId="0" fontId="29" fillId="10" borderId="28" xfId="0" applyFont="1" applyFill="1" applyBorder="1" applyAlignment="1">
      <alignment horizontal="left" wrapText="1"/>
    </xf>
    <xf numFmtId="0" fontId="29" fillId="10" borderId="29" xfId="0" applyFont="1" applyFill="1" applyBorder="1" applyAlignment="1">
      <alignment horizontal="center" wrapText="1"/>
    </xf>
    <xf numFmtId="0" fontId="38" fillId="10" borderId="9" xfId="0" applyFont="1" applyFill="1" applyBorder="1" applyAlignment="1">
      <alignment horizontal="center" wrapText="1"/>
    </xf>
    <xf numFmtId="164" fontId="37" fillId="11" borderId="14" xfId="0" applyNumberFormat="1" applyFont="1" applyFill="1" applyBorder="1" applyAlignment="1" applyProtection="1">
      <alignment horizontal="center" vertical="center"/>
      <protection locked="0"/>
    </xf>
    <xf numFmtId="1" fontId="37" fillId="9" borderId="25" xfId="0" applyNumberFormat="1" applyFont="1" applyFill="1" applyBorder="1" applyAlignment="1">
      <alignment horizontal="center" vertical="center"/>
    </xf>
    <xf numFmtId="1" fontId="37" fillId="9" borderId="26" xfId="0" applyNumberFormat="1" applyFont="1" applyFill="1" applyBorder="1" applyAlignment="1">
      <alignment horizontal="center" vertical="center"/>
    </xf>
    <xf numFmtId="1" fontId="37" fillId="9" borderId="27" xfId="0" applyNumberFormat="1" applyFont="1" applyFill="1" applyBorder="1" applyAlignment="1">
      <alignment horizontal="center" vertical="center"/>
    </xf>
    <xf numFmtId="0" fontId="22" fillId="8" borderId="0" xfId="0" applyFont="1" applyFill="1" applyAlignment="1">
      <alignment horizontal="left" vertical="top" wrapText="1"/>
    </xf>
  </cellXfs>
  <cellStyles count="2">
    <cellStyle name="Normal" xfId="0" builtinId="0"/>
    <cellStyle name="Normal_Sheet1" xfId="1" xr:uid="{982B0820-01AD-4FA4-A45E-C1DEA089D5B5}"/>
  </cellStyles>
  <dxfs count="24">
    <dxf>
      <font>
        <b/>
        <i val="0"/>
      </font>
    </dxf>
    <dxf>
      <font>
        <b/>
        <i val="0"/>
        <color theme="0"/>
      </font>
      <fill>
        <patternFill>
          <bgColor indexed="10"/>
        </patternFill>
      </fill>
    </dxf>
    <dxf>
      <font>
        <b val="0"/>
        <i val="0"/>
        <strike val="0"/>
        <condense val="0"/>
        <extend val="0"/>
        <outline val="0"/>
        <shadow val="0"/>
        <u val="none"/>
        <vertAlign val="baseline"/>
        <sz val="12"/>
        <color theme="1"/>
        <name val="Ubuntu"/>
        <family val="2"/>
        <scheme val="none"/>
      </font>
      <numFmt numFmtId="164" formatCode="0.0"/>
      <fill>
        <patternFill patternType="solid">
          <fgColor indexed="64"/>
          <bgColor rgb="FFDFEEFB"/>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protection locked="0" hidden="0"/>
    </dxf>
    <dxf>
      <font>
        <b/>
        <i val="0"/>
        <strike val="0"/>
        <condense val="0"/>
        <extend val="0"/>
        <outline val="0"/>
        <shadow val="0"/>
        <u val="none"/>
        <vertAlign val="baseline"/>
        <sz val="12"/>
        <color theme="0"/>
        <name val="Ubuntu"/>
        <family val="2"/>
        <scheme val="none"/>
      </font>
      <fill>
        <patternFill patternType="solid">
          <fgColor indexed="64"/>
          <bgColor rgb="FF0090D4"/>
        </patternFill>
      </fill>
      <alignment horizontal="left" vertical="bottom" textRotation="0" wrapText="1" indent="0" justifyLastLine="0" shrinkToFit="0" readingOrder="0"/>
      <border diagonalUp="0" diagonalDown="0">
        <left/>
        <right style="thin">
          <color theme="0"/>
        </right>
        <top style="thin">
          <color theme="4"/>
        </top>
        <bottom/>
        <vertical/>
        <horizontal/>
      </border>
    </dxf>
    <dxf>
      <border outline="0">
        <left style="thin">
          <color theme="4"/>
        </left>
        <top style="thin">
          <color theme="4"/>
        </top>
      </border>
    </dxf>
    <dxf>
      <font>
        <b/>
        <i val="0"/>
        <strike val="0"/>
        <condense val="0"/>
        <extend val="0"/>
        <outline val="0"/>
        <shadow val="0"/>
        <u val="none"/>
        <vertAlign val="baseline"/>
        <sz val="12"/>
        <color theme="0"/>
        <name val="Ubuntu"/>
        <family val="2"/>
        <scheme val="none"/>
      </font>
      <fill>
        <patternFill patternType="solid">
          <fgColor indexed="64"/>
          <bgColor rgb="FF0090D4"/>
        </patternFill>
      </fill>
      <alignment horizontal="center"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Ubuntu"/>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2" tint="-0.499984740745262"/>
        </left>
        <right style="medium">
          <color rgb="FF0090D4"/>
        </right>
        <top style="thin">
          <color theme="2" tint="-0.499984740745262"/>
        </top>
        <bottom style="thin">
          <color theme="2" tint="-0.499984740745262"/>
        </bottom>
        <vertical/>
        <horizontal/>
      </border>
      <protection locked="1" hidden="0"/>
    </dxf>
    <dxf>
      <font>
        <b val="0"/>
        <i val="0"/>
        <strike val="0"/>
        <condense val="0"/>
        <extend val="0"/>
        <outline val="0"/>
        <shadow val="0"/>
        <u val="none"/>
        <vertAlign val="baseline"/>
        <sz val="12"/>
        <color auto="1"/>
        <name val="Ubuntu"/>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protection locked="1" hidden="0"/>
    </dxf>
    <dxf>
      <font>
        <b val="0"/>
        <i val="0"/>
        <strike val="0"/>
        <condense val="0"/>
        <extend val="0"/>
        <outline val="0"/>
        <shadow val="0"/>
        <u val="none"/>
        <vertAlign val="baseline"/>
        <sz val="12"/>
        <color auto="1"/>
        <name val="Ubuntu"/>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protection locked="1" hidden="0"/>
    </dxf>
    <dxf>
      <font>
        <b val="0"/>
        <i val="0"/>
        <strike val="0"/>
        <condense val="0"/>
        <extend val="0"/>
        <outline val="0"/>
        <shadow val="0"/>
        <u val="none"/>
        <vertAlign val="baseline"/>
        <sz val="12"/>
        <color auto="1"/>
        <name val="Ubuntu"/>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theme="2" tint="-0.499984740745262"/>
        </right>
        <top style="thin">
          <color theme="2" tint="-0.499984740745262"/>
        </top>
        <bottom style="thin">
          <color theme="2" tint="-0.499984740745262"/>
        </bottom>
      </border>
      <protection locked="1" hidden="0"/>
    </dxf>
    <dxf>
      <font>
        <b val="0"/>
        <i val="0"/>
        <strike val="0"/>
        <condense val="0"/>
        <extend val="0"/>
        <outline val="0"/>
        <shadow val="0"/>
        <u val="none"/>
        <vertAlign val="baseline"/>
        <sz val="12"/>
        <color theme="1"/>
        <name val="Ubuntu"/>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thin">
          <color theme="2" tint="-0.499984740745262"/>
        </top>
        <bottom style="thin">
          <color theme="2" tint="-0.499984740745262"/>
        </bottom>
      </border>
      <protection locked="1" hidden="0"/>
    </dxf>
    <dxf>
      <font>
        <strike val="0"/>
        <outline val="0"/>
        <shadow val="0"/>
        <u val="none"/>
        <vertAlign val="baseline"/>
        <sz val="12"/>
        <color auto="1"/>
        <name val="Arial"/>
        <family val="2"/>
        <scheme val="none"/>
      </font>
      <numFmt numFmtId="1" formatCode="0"/>
      <fill>
        <patternFill patternType="solid">
          <fgColor indexed="64"/>
          <bgColor theme="0"/>
        </patternFill>
      </fill>
      <alignment horizontal="center" textRotation="0" wrapText="0" indent="0" justifyLastLine="0" shrinkToFit="0" readingOrder="0"/>
      <border diagonalUp="0" diagonalDown="0">
        <left style="thin">
          <color theme="2" tint="-0.499984740745262"/>
        </left>
        <right/>
        <top style="thin">
          <color theme="2" tint="-0.499984740745262"/>
        </top>
        <bottom style="thin">
          <color theme="2" tint="-0.499984740745262"/>
        </bottom>
      </border>
      <protection locked="1" hidden="0"/>
    </dxf>
    <dxf>
      <font>
        <strike val="0"/>
        <outline val="0"/>
        <shadow val="0"/>
        <u val="none"/>
        <vertAlign val="baseline"/>
        <sz val="12"/>
        <color auto="1"/>
        <name val="Arial"/>
        <family val="2"/>
        <scheme val="none"/>
      </font>
      <fill>
        <patternFill patternType="solid">
          <fgColor indexed="64"/>
          <bgColor theme="0"/>
        </patternFill>
      </fill>
      <alignment horizont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border>
      <protection locked="1" hidden="0"/>
    </dxf>
    <dxf>
      <font>
        <b val="0"/>
        <i val="0"/>
        <strike val="0"/>
        <condense val="0"/>
        <extend val="0"/>
        <outline val="0"/>
        <shadow val="0"/>
        <u val="none"/>
        <vertAlign val="baseline"/>
        <sz val="12"/>
        <color auto="1"/>
        <name val="Ubuntu"/>
        <family val="2"/>
        <scheme val="none"/>
      </font>
      <numFmt numFmtId="164" formatCode="0.0"/>
      <fill>
        <patternFill patternType="solid">
          <fgColor indexed="64"/>
          <bgColor rgb="FFDFEEFB"/>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border>
      <protection locked="0" hidden="0"/>
    </dxf>
    <dxf>
      <font>
        <b val="0"/>
        <i val="0"/>
        <strike val="0"/>
        <condense val="0"/>
        <extend val="0"/>
        <outline val="0"/>
        <shadow val="0"/>
        <u val="none"/>
        <vertAlign val="baseline"/>
        <sz val="12"/>
        <color auto="1"/>
        <name val="Ubuntu"/>
        <family val="2"/>
        <scheme val="none"/>
      </font>
      <numFmt numFmtId="164" formatCode="0.0"/>
      <fill>
        <patternFill patternType="solid">
          <fgColor indexed="64"/>
          <bgColor rgb="FFDFEEFB"/>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border>
      <protection locked="0" hidden="0"/>
    </dxf>
    <dxf>
      <font>
        <b val="0"/>
        <i val="0"/>
        <strike val="0"/>
        <condense val="0"/>
        <extend val="0"/>
        <outline val="0"/>
        <shadow val="0"/>
        <u val="none"/>
        <vertAlign val="baseline"/>
        <sz val="12"/>
        <color auto="1"/>
        <name val="Ubuntu"/>
        <family val="2"/>
        <scheme val="none"/>
      </font>
      <numFmt numFmtId="19" formatCode="dd/mm/yyyy"/>
      <fill>
        <patternFill patternType="solid">
          <fgColor indexed="64"/>
          <bgColor rgb="FFDFEEFB"/>
        </patternFill>
      </fill>
      <alignment horizontal="center" vertical="center" textRotation="0" wrapText="0"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border>
      <protection locked="0" hidden="0"/>
    </dxf>
    <dxf>
      <font>
        <b val="0"/>
        <i val="0"/>
        <strike val="0"/>
        <condense val="0"/>
        <extend val="0"/>
        <outline val="0"/>
        <shadow val="0"/>
        <u val="none"/>
        <vertAlign val="baseline"/>
        <sz val="12"/>
        <color auto="1"/>
        <name val="Ubuntu"/>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rgb="FF0090D4"/>
        </left>
        <right style="thin">
          <color theme="2" tint="-0.499984740745262"/>
        </right>
        <top style="thin">
          <color theme="2" tint="-0.499984740745262"/>
        </top>
        <bottom style="thin">
          <color theme="2" tint="-0.499984740745262"/>
        </bottom>
      </border>
      <protection locked="1" hidden="0"/>
    </dxf>
    <dxf>
      <border outline="0">
        <bottom style="medium">
          <color rgb="FF0090D4"/>
        </bottom>
      </border>
    </dxf>
    <dxf>
      <font>
        <b val="0"/>
        <i val="0"/>
        <strike val="0"/>
        <condense val="0"/>
        <extend val="0"/>
        <outline val="0"/>
        <shadow val="0"/>
        <u val="none"/>
        <vertAlign val="baseline"/>
        <sz val="12"/>
        <color auto="1"/>
        <name val="Ubuntu"/>
        <family val="2"/>
        <scheme val="none"/>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Ubuntu"/>
        <family val="2"/>
        <scheme val="none"/>
      </font>
      <fill>
        <patternFill patternType="solid">
          <fgColor indexed="64"/>
          <bgColor rgb="FF0090D4"/>
        </patternFill>
      </fill>
      <alignment horizontal="general" vertical="bottom" textRotation="0" wrapText="1" indent="0" justifyLastLine="0" shrinkToFit="0" readingOrder="0"/>
      <protection locked="1" hidden="0"/>
    </dxf>
    <dxf>
      <font>
        <b/>
        <i val="0"/>
      </font>
      <fill>
        <patternFill patternType="none">
          <bgColor auto="1"/>
        </patternFill>
      </fill>
    </dxf>
    <dxf>
      <fill>
        <patternFill>
          <bgColor rgb="FF00B0F0"/>
        </patternFill>
      </fill>
    </dxf>
    <dxf>
      <fill>
        <patternFill>
          <bgColor rgb="FF00B0F0"/>
        </patternFill>
      </fill>
    </dxf>
    <dxf>
      <border>
        <left style="medium">
          <color rgb="FF0090D4"/>
        </left>
        <right style="medium">
          <color rgb="FF0090D4"/>
        </right>
        <top style="medium">
          <color rgb="FF0090D4"/>
        </top>
        <bottom style="medium">
          <color rgb="FF0090D4"/>
        </bottom>
        <vertical style="thin">
          <color auto="1"/>
        </vertical>
        <horizontal style="thin">
          <color auto="1"/>
        </horizontal>
      </border>
    </dxf>
  </dxfs>
  <tableStyles count="1" defaultTableStyle="TableStyleMedium2" defaultPivotStyle="PivotStyleLight16">
    <tableStyle name="Table Style vertical header" pivot="0" count="4" xr9:uid="{9B6F0821-5C8E-4839-95C3-5C8802104A3C}">
      <tableStyleElement type="wholeTable" dxfId="23"/>
      <tableStyleElement type="headerRow" dxfId="22"/>
      <tableStyleElement type="firstColumn" dxfId="21"/>
      <tableStyleElement type="firstRowStripe" dxfId="20"/>
    </tableStyle>
  </tableStyles>
  <colors>
    <mruColors>
      <color rgb="FF0090D4"/>
      <color rgb="FFDFEEFB"/>
      <color rgb="FFA0D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02929210740435E-2"/>
          <c:y val="3.6697271190811856E-2"/>
          <c:w val="0.88445890968266883"/>
          <c:h val="0.82175675130853698"/>
        </c:manualLayout>
      </c:layout>
      <c:barChart>
        <c:barDir val="col"/>
        <c:grouping val="clustered"/>
        <c:varyColors val="0"/>
        <c:ser>
          <c:idx val="0"/>
          <c:order val="0"/>
          <c:spPr>
            <a:solidFill>
              <a:srgbClr val="008000"/>
            </a:solidFill>
            <a:ln w="12700">
              <a:solidFill>
                <a:srgbClr val="000000"/>
              </a:solidFill>
              <a:prstDash val="solid"/>
            </a:ln>
          </c:spPr>
          <c:invertIfNegative val="0"/>
          <c:cat>
            <c:numRef>
              <c:f>'Data Entry'!$L$4:$L$23</c:f>
              <c:numCache>
                <c:formatCode>General</c:formatCode>
                <c:ptCount val="20"/>
              </c:numCache>
            </c:numRef>
          </c:cat>
          <c:val>
            <c:numRef>
              <c:f>'Data Entry'!$H$4:$H$25</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5="http://schemas.microsoft.com/office/drawing/2012/chart" uri="{02D57815-91ED-43cb-92C2-25804820EDAC}">
              <c15:filteredSeriesTitle>
                <c15:tx>
                  <c:strRef>
                    <c:extLst>
                      <c:ext uri="{02D57815-91ED-43cb-92C2-25804820EDAC}">
                        <c15:formulaRef>
                          <c15:sqref>'Data Entry'!#REF!</c15:sqref>
                        </c15:formulaRef>
                      </c:ext>
                    </c:extLst>
                    <c:strCache>
                      <c:ptCount val="1"/>
                      <c:pt idx="0">
                        <c:v>#REF!</c:v>
                      </c:pt>
                    </c:strCache>
                  </c:strRef>
                </c15:tx>
              </c15:filteredSeriesTitle>
            </c:ext>
            <c:ext xmlns:c16="http://schemas.microsoft.com/office/drawing/2014/chart" uri="{C3380CC4-5D6E-409C-BE32-E72D297353CC}">
              <c16:uniqueId val="{00000000-BB4D-45BD-A2D4-A254187B6DA1}"/>
            </c:ext>
          </c:extLst>
        </c:ser>
        <c:ser>
          <c:idx val="1"/>
          <c:order val="1"/>
          <c:spPr>
            <a:solidFill>
              <a:srgbClr val="CCFFCC"/>
            </a:solidFill>
            <a:ln w="12700">
              <a:solidFill>
                <a:srgbClr val="000000"/>
              </a:solidFill>
              <a:prstDash val="solid"/>
            </a:ln>
          </c:spPr>
          <c:invertIfNegative val="0"/>
          <c:cat>
            <c:numRef>
              <c:f>'Data Entry'!$L$4:$L$23</c:f>
              <c:numCache>
                <c:formatCode>General</c:formatCode>
                <c:ptCount val="20"/>
              </c:numCache>
            </c:numRef>
          </c:cat>
          <c:val>
            <c:numRef>
              <c:f>'Data Entry'!$I$4:$I$25</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5="http://schemas.microsoft.com/office/drawing/2012/chart" uri="{02D57815-91ED-43cb-92C2-25804820EDAC}">
              <c15:filteredSeriesTitle>
                <c15:tx>
                  <c:strRef>
                    <c:extLst>
                      <c:ext uri="{02D57815-91ED-43cb-92C2-25804820EDAC}">
                        <c15:formulaRef>
                          <c15:sqref>'Data Entry'!#REF!</c15:sqref>
                        </c15:formulaRef>
                      </c:ext>
                    </c:extLst>
                    <c:strCache>
                      <c:ptCount val="1"/>
                      <c:pt idx="0">
                        <c:v>#REF!</c:v>
                      </c:pt>
                    </c:strCache>
                  </c:strRef>
                </c15:tx>
              </c15:filteredSeriesTitle>
            </c:ext>
            <c:ext xmlns:c16="http://schemas.microsoft.com/office/drawing/2014/chart" uri="{C3380CC4-5D6E-409C-BE32-E72D297353CC}">
              <c16:uniqueId val="{00000001-BB4D-45BD-A2D4-A254187B6DA1}"/>
            </c:ext>
          </c:extLst>
        </c:ser>
        <c:ser>
          <c:idx val="2"/>
          <c:order val="2"/>
          <c:spPr>
            <a:solidFill>
              <a:srgbClr val="339966"/>
            </a:solidFill>
            <a:ln w="12700">
              <a:solidFill>
                <a:srgbClr val="000000"/>
              </a:solidFill>
              <a:prstDash val="solid"/>
            </a:ln>
          </c:spPr>
          <c:invertIfNegative val="0"/>
          <c:cat>
            <c:numRef>
              <c:f>'Data Entry'!$L$4:$L$23</c:f>
              <c:numCache>
                <c:formatCode>General</c:formatCode>
                <c:ptCount val="20"/>
              </c:numCache>
            </c:numRef>
          </c:cat>
          <c:val>
            <c:numRef>
              <c:f>'Data Entry'!$J$4:$J$25</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5="http://schemas.microsoft.com/office/drawing/2012/chart" uri="{02D57815-91ED-43cb-92C2-25804820EDAC}">
              <c15:filteredSeriesTitle>
                <c15:tx>
                  <c:strRef>
                    <c:extLst>
                      <c:ext uri="{02D57815-91ED-43cb-92C2-25804820EDAC}">
                        <c15:formulaRef>
                          <c15:sqref>'Data Entry'!#REF!</c15:sqref>
                        </c15:formulaRef>
                      </c:ext>
                    </c:extLst>
                    <c:strCache>
                      <c:ptCount val="1"/>
                      <c:pt idx="0">
                        <c:v>#REF!</c:v>
                      </c:pt>
                    </c:strCache>
                  </c:strRef>
                </c15:tx>
              </c15:filteredSeriesTitle>
            </c:ext>
            <c:ext xmlns:c16="http://schemas.microsoft.com/office/drawing/2014/chart" uri="{C3380CC4-5D6E-409C-BE32-E72D297353CC}">
              <c16:uniqueId val="{00000002-BB4D-45BD-A2D4-A254187B6DA1}"/>
            </c:ext>
          </c:extLst>
        </c:ser>
        <c:ser>
          <c:idx val="3"/>
          <c:order val="3"/>
          <c:spPr>
            <a:solidFill>
              <a:srgbClr val="CCFFCC"/>
            </a:solidFill>
            <a:ln w="12700">
              <a:solidFill>
                <a:srgbClr val="000000"/>
              </a:solidFill>
              <a:prstDash val="solid"/>
            </a:ln>
          </c:spPr>
          <c:invertIfNegative val="0"/>
          <c:cat>
            <c:numRef>
              <c:f>'Data Entry'!$L$4:$L$23</c:f>
              <c:numCache>
                <c:formatCode>General</c:formatCode>
                <c:ptCount val="20"/>
              </c:numCache>
            </c:numRef>
          </c:cat>
          <c:val>
            <c:numRef>
              <c:f>'Data Entry'!$K$4:$K$25</c:f>
              <c:numCache>
                <c:formatCode>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5="http://schemas.microsoft.com/office/drawing/2012/chart" uri="{02D57815-91ED-43cb-92C2-25804820EDAC}">
              <c15:filteredSeriesTitle>
                <c15:tx>
                  <c:strRef>
                    <c:extLst>
                      <c:ext uri="{02D57815-91ED-43cb-92C2-25804820EDAC}">
                        <c15:formulaRef>
                          <c15:sqref>'Data Entry'!#REF!</c15:sqref>
                        </c15:formulaRef>
                      </c:ext>
                    </c:extLst>
                    <c:strCache>
                      <c:ptCount val="1"/>
                      <c:pt idx="0">
                        <c:v>#REF!</c:v>
                      </c:pt>
                    </c:strCache>
                  </c:strRef>
                </c15:tx>
              </c15:filteredSeriesTitle>
            </c:ext>
            <c:ext xmlns:c16="http://schemas.microsoft.com/office/drawing/2014/chart" uri="{C3380CC4-5D6E-409C-BE32-E72D297353CC}">
              <c16:uniqueId val="{00000003-BB4D-45BD-A2D4-A254187B6DA1}"/>
            </c:ext>
          </c:extLst>
        </c:ser>
        <c:dLbls>
          <c:showLegendKey val="0"/>
          <c:showVal val="0"/>
          <c:showCatName val="0"/>
          <c:showSerName val="0"/>
          <c:showPercent val="0"/>
          <c:showBubbleSize val="0"/>
        </c:dLbls>
        <c:gapWidth val="80"/>
        <c:axId val="808328799"/>
        <c:axId val="1"/>
      </c:barChart>
      <c:dateAx>
        <c:axId val="808328799"/>
        <c:scaling>
          <c:orientation val="minMax"/>
        </c:scaling>
        <c:delete val="0"/>
        <c:axPos val="b"/>
        <c:title>
          <c:tx>
            <c:rich>
              <a:bodyPr/>
              <a:lstStyle/>
              <a:p>
                <a:pPr>
                  <a:defRPr sz="1175" b="1" i="0" u="none" strike="noStrike" baseline="0">
                    <a:solidFill>
                      <a:srgbClr val="000000"/>
                    </a:solidFill>
                    <a:latin typeface="Verdana"/>
                    <a:ea typeface="Verdana"/>
                    <a:cs typeface="Verdana"/>
                  </a:defRPr>
                </a:pPr>
                <a:r>
                  <a:rPr lang="en-US"/>
                  <a:t>Date</a:t>
                </a:r>
              </a:p>
            </c:rich>
          </c:tx>
          <c:layout>
            <c:manualLayout>
              <c:xMode val="edge"/>
              <c:yMode val="edge"/>
              <c:x val="0.49389747762408465"/>
              <c:y val="0.90563622991856096"/>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Verdana"/>
                <a:ea typeface="Verdana"/>
                <a:cs typeface="Verdana"/>
              </a:defRPr>
            </a:pPr>
            <a:endParaRPr lang="en-US"/>
          </a:p>
        </c:txPr>
        <c:crossAx val="1"/>
        <c:crosses val="autoZero"/>
        <c:auto val="1"/>
        <c:lblOffset val="100"/>
        <c:baseTimeUnit val="days"/>
        <c:majorUnit val="1"/>
        <c:majorTimeUnit val="days"/>
        <c:minorUnit val="1"/>
        <c:minorTimeUnit val="days"/>
      </c:dateAx>
      <c:valAx>
        <c:axId val="1"/>
        <c:scaling>
          <c:orientation val="minMax"/>
          <c:max val="10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Verdana"/>
                    <a:ea typeface="Verdana"/>
                    <a:cs typeface="Verdana"/>
                  </a:defRPr>
                </a:pPr>
                <a:r>
                  <a:rPr lang="en-US"/>
                  <a:t>Safe days</a:t>
                </a:r>
              </a:p>
            </c:rich>
          </c:tx>
          <c:layout>
            <c:manualLayout>
              <c:xMode val="edge"/>
              <c:yMode val="edge"/>
              <c:x val="1.3018714401952807E-2"/>
              <c:y val="0.3866319859117867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Verdana"/>
                <a:ea typeface="Verdana"/>
                <a:cs typeface="Verdana"/>
              </a:defRPr>
            </a:pPr>
            <a:endParaRPr lang="en-US"/>
          </a:p>
        </c:txPr>
        <c:crossAx val="808328799"/>
        <c:crosses val="autoZero"/>
        <c:crossBetween val="between"/>
      </c:valAx>
      <c:spPr>
        <a:solidFill>
          <a:srgbClr val="FFFFFF"/>
        </a:solidFill>
        <a:ln w="12700">
          <a:solidFill>
            <a:srgbClr val="808080"/>
          </a:solidFill>
          <a:prstDash val="solid"/>
        </a:ln>
      </c:spPr>
    </c:plotArea>
    <c:legend>
      <c:legendPos val="b"/>
      <c:layout>
        <c:manualLayout>
          <c:xMode val="edge"/>
          <c:yMode val="edge"/>
          <c:x val="0.37184703010577708"/>
          <c:y val="0.95543968315014616"/>
          <c:w val="0.28397070789259565"/>
          <c:h val="3.5386649933539793E-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6350">
      <a:noFill/>
    </a:ln>
  </c:spPr>
  <c:txPr>
    <a:bodyPr/>
    <a:lstStyle/>
    <a:p>
      <a:pPr>
        <a:defRPr sz="2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3</xdr:row>
          <xdr:rowOff>104775</xdr:rowOff>
        </xdr:from>
        <xdr:to>
          <xdr:col>12</xdr:col>
          <xdr:colOff>552450</xdr:colOff>
          <xdr:row>5</xdr:row>
          <xdr:rowOff>85725</xdr:rowOff>
        </xdr:to>
        <xdr:sp macro="" textlink="">
          <xdr:nvSpPr>
            <xdr:cNvPr id="7179" name="CommandButton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0</xdr:col>
      <xdr:colOff>85725</xdr:colOff>
      <xdr:row>1</xdr:row>
      <xdr:rowOff>38100</xdr:rowOff>
    </xdr:from>
    <xdr:ext cx="46231" cy="312843"/>
    <xdr:sp macro="" textlink="">
      <xdr:nvSpPr>
        <xdr:cNvPr id="3" name="Text Box 6">
          <a:extLst>
            <a:ext uri="{FF2B5EF4-FFF2-40B4-BE49-F238E27FC236}">
              <a16:creationId xmlns:a16="http://schemas.microsoft.com/office/drawing/2014/main" id="{E83F2A0A-1495-40B6-8497-5C6930297D68}"/>
            </a:ext>
          </a:extLst>
        </xdr:cNvPr>
        <xdr:cNvSpPr txBox="1">
          <a:spLocks noChangeArrowheads="1"/>
        </xdr:cNvSpPr>
      </xdr:nvSpPr>
      <xdr:spPr bwMode="auto">
        <a:xfrm>
          <a:off x="85725" y="685800"/>
          <a:ext cx="46231" cy="312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45720" tIns="32004" rIns="0" bIns="0" anchor="t" upright="1">
          <a:spAutoFit/>
        </a:bodyPr>
        <a:lstStyle/>
        <a:p>
          <a:pPr algn="l" rtl="0">
            <a:defRPr sz="1000"/>
          </a:pPr>
          <a:endParaRPr lang="en-GB" sz="1800" b="1" i="0" u="none" strike="noStrike" baseline="0">
            <a:solidFill>
              <a:srgbClr val="000000"/>
            </a:solidFill>
            <a:latin typeface="Verdana"/>
            <a:ea typeface="Verdana"/>
            <a:cs typeface="Verdana"/>
          </a:endParaRPr>
        </a:p>
      </xdr:txBody>
    </xdr:sp>
    <xdr:clientData/>
  </xdr:oneCellAnchor>
  <xdr:twoCellAnchor>
    <xdr:from>
      <xdr:col>10</xdr:col>
      <xdr:colOff>0</xdr:colOff>
      <xdr:row>2</xdr:row>
      <xdr:rowOff>2800350</xdr:rowOff>
    </xdr:from>
    <xdr:to>
      <xdr:col>14</xdr:col>
      <xdr:colOff>171450</xdr:colOff>
      <xdr:row>9</xdr:row>
      <xdr:rowOff>19050</xdr:rowOff>
    </xdr:to>
    <xdr:sp macro="" textlink="">
      <xdr:nvSpPr>
        <xdr:cNvPr id="4" name="Rectangle 3">
          <a:extLst>
            <a:ext uri="{FF2B5EF4-FFF2-40B4-BE49-F238E27FC236}">
              <a16:creationId xmlns:a16="http://schemas.microsoft.com/office/drawing/2014/main" id="{3107291B-4DFE-9AEA-D202-B838C542984B}"/>
            </a:ext>
          </a:extLst>
        </xdr:cNvPr>
        <xdr:cNvSpPr/>
      </xdr:nvSpPr>
      <xdr:spPr>
        <a:xfrm>
          <a:off x="21393150" y="3829050"/>
          <a:ext cx="2295525" cy="1200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19</xdr:row>
      <xdr:rowOff>95250</xdr:rowOff>
    </xdr:from>
    <xdr:to>
      <xdr:col>0</xdr:col>
      <xdr:colOff>485775</xdr:colOff>
      <xdr:row>20</xdr:row>
      <xdr:rowOff>133350</xdr:rowOff>
    </xdr:to>
    <xdr:sp macro="" textlink="">
      <xdr:nvSpPr>
        <xdr:cNvPr id="13319" name="Text Box 2">
          <a:extLst>
            <a:ext uri="{FF2B5EF4-FFF2-40B4-BE49-F238E27FC236}">
              <a16:creationId xmlns:a16="http://schemas.microsoft.com/office/drawing/2014/main" id="{348924C7-CC2A-4A18-686E-5790B735CD31}"/>
            </a:ext>
          </a:extLst>
        </xdr:cNvPr>
        <xdr:cNvSpPr txBox="1">
          <a:spLocks noChangeArrowheads="1"/>
        </xdr:cNvSpPr>
      </xdr:nvSpPr>
      <xdr:spPr bwMode="auto">
        <a:xfrm>
          <a:off x="409575" y="418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85725</xdr:colOff>
      <xdr:row>1</xdr:row>
      <xdr:rowOff>38100</xdr:rowOff>
    </xdr:from>
    <xdr:ext cx="46231" cy="312843"/>
    <xdr:sp macro="" textlink="">
      <xdr:nvSpPr>
        <xdr:cNvPr id="13318" name="Text Box 6">
          <a:extLst>
            <a:ext uri="{FF2B5EF4-FFF2-40B4-BE49-F238E27FC236}">
              <a16:creationId xmlns:a16="http://schemas.microsoft.com/office/drawing/2014/main" id="{4623DDA5-7B03-15C6-057A-627781104F86}"/>
            </a:ext>
          </a:extLst>
        </xdr:cNvPr>
        <xdr:cNvSpPr txBox="1">
          <a:spLocks noChangeArrowheads="1"/>
        </xdr:cNvSpPr>
      </xdr:nvSpPr>
      <xdr:spPr bwMode="auto">
        <a:xfrm>
          <a:off x="85725" y="685800"/>
          <a:ext cx="46231" cy="312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45720" tIns="32004" rIns="0" bIns="0" anchor="t" upright="1">
          <a:spAutoFit/>
        </a:bodyPr>
        <a:lstStyle/>
        <a:p>
          <a:pPr algn="l" rtl="0">
            <a:defRPr sz="1000"/>
          </a:pPr>
          <a:endParaRPr lang="en-GB" sz="1800" b="1" i="0" u="none" strike="noStrike" baseline="0">
            <a:solidFill>
              <a:srgbClr val="000000"/>
            </a:solidFill>
            <a:latin typeface="Verdana"/>
            <a:ea typeface="Verdana"/>
            <a:cs typeface="Verdan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12</xdr:row>
      <xdr:rowOff>114300</xdr:rowOff>
    </xdr:from>
    <xdr:to>
      <xdr:col>19</xdr:col>
      <xdr:colOff>285750</xdr:colOff>
      <xdr:row>57</xdr:row>
      <xdr:rowOff>95250</xdr:rowOff>
    </xdr:to>
    <xdr:graphicFrame macro="">
      <xdr:nvGraphicFramePr>
        <xdr:cNvPr id="8205" name="Chart 1">
          <a:extLst>
            <a:ext uri="{FF2B5EF4-FFF2-40B4-BE49-F238E27FC236}">
              <a16:creationId xmlns:a16="http://schemas.microsoft.com/office/drawing/2014/main" id="{17C1C65F-FA6F-92DF-C46D-82AE9B6D3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314325</xdr:colOff>
      <xdr:row>10</xdr:row>
      <xdr:rowOff>142875</xdr:rowOff>
    </xdr:from>
    <xdr:ext cx="1790234" cy="370614"/>
    <xdr:sp macro="" textlink="">
      <xdr:nvSpPr>
        <xdr:cNvPr id="8200" name="Text Box 8">
          <a:extLst>
            <a:ext uri="{FF2B5EF4-FFF2-40B4-BE49-F238E27FC236}">
              <a16:creationId xmlns:a16="http://schemas.microsoft.com/office/drawing/2014/main" id="{D7C13FAB-0DB8-6A1D-35E2-7948112F6F41}"/>
            </a:ext>
          </a:extLst>
        </xdr:cNvPr>
        <xdr:cNvSpPr txBox="1">
          <a:spLocks noChangeArrowheads="1"/>
        </xdr:cNvSpPr>
      </xdr:nvSpPr>
      <xdr:spPr bwMode="auto">
        <a:xfrm>
          <a:off x="5191125" y="1793875"/>
          <a:ext cx="1790234" cy="370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7432" rIns="0" bIns="0" anchor="t" upright="1">
          <a:spAutoFit/>
        </a:bodyPr>
        <a:lstStyle/>
        <a:p>
          <a:pPr algn="l" rtl="0">
            <a:defRPr sz="1000"/>
          </a:pPr>
          <a:r>
            <a:rPr lang="en-GB" sz="2200" b="1" i="0" u="none" strike="noStrike" baseline="0">
              <a:solidFill>
                <a:srgbClr val="000000"/>
              </a:solidFill>
              <a:latin typeface="Verdana"/>
              <a:ea typeface="Verdana"/>
              <a:cs typeface="Verdana"/>
            </a:rPr>
            <a:t>Graph Title</a:t>
          </a:r>
        </a:p>
      </xdr:txBody>
    </xdr:sp>
    <xdr:clientData/>
  </xdr:oneCellAnchor>
  <xdr:twoCellAnchor>
    <xdr:from>
      <xdr:col>0</xdr:col>
      <xdr:colOff>66675</xdr:colOff>
      <xdr:row>5</xdr:row>
      <xdr:rowOff>85725</xdr:rowOff>
    </xdr:from>
    <xdr:to>
      <xdr:col>19</xdr:col>
      <xdr:colOff>66675</xdr:colOff>
      <xdr:row>5</xdr:row>
      <xdr:rowOff>104775</xdr:rowOff>
    </xdr:to>
    <xdr:sp macro="" textlink="">
      <xdr:nvSpPr>
        <xdr:cNvPr id="8207" name="Line 9">
          <a:extLst>
            <a:ext uri="{FF2B5EF4-FFF2-40B4-BE49-F238E27FC236}">
              <a16:creationId xmlns:a16="http://schemas.microsoft.com/office/drawing/2014/main" id="{F0F79216-5676-9E70-4553-DD1D7BC95E81}"/>
            </a:ext>
          </a:extLst>
        </xdr:cNvPr>
        <xdr:cNvSpPr>
          <a:spLocks noChangeShapeType="1"/>
        </xdr:cNvSpPr>
      </xdr:nvSpPr>
      <xdr:spPr bwMode="auto">
        <a:xfrm flipH="1">
          <a:off x="66675" y="895350"/>
          <a:ext cx="11582400" cy="19050"/>
        </a:xfrm>
        <a:prstGeom prst="line">
          <a:avLst/>
        </a:prstGeom>
        <a:noFill/>
        <a:ln w="19050">
          <a:solidFill>
            <a:srgbClr val="009966"/>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66675</xdr:colOff>
      <xdr:row>0</xdr:row>
      <xdr:rowOff>66675</xdr:rowOff>
    </xdr:from>
    <xdr:to>
      <xdr:col>18</xdr:col>
      <xdr:colOff>600075</xdr:colOff>
      <xdr:row>4</xdr:row>
      <xdr:rowOff>133350</xdr:rowOff>
    </xdr:to>
    <xdr:pic>
      <xdr:nvPicPr>
        <xdr:cNvPr id="8208" name="Picture 10" descr="HGCALOGO">
          <a:extLst>
            <a:ext uri="{FF2B5EF4-FFF2-40B4-BE49-F238E27FC236}">
              <a16:creationId xmlns:a16="http://schemas.microsoft.com/office/drawing/2014/main" id="{B6814A9F-A59A-D0F4-71EA-B8C1BE132A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39475" y="66675"/>
          <a:ext cx="5334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3</xdr:row>
      <xdr:rowOff>28575</xdr:rowOff>
    </xdr:from>
    <xdr:ext cx="5295424" cy="312843"/>
    <xdr:sp macro="" textlink="">
      <xdr:nvSpPr>
        <xdr:cNvPr id="8203" name="Text Box 11">
          <a:extLst>
            <a:ext uri="{FF2B5EF4-FFF2-40B4-BE49-F238E27FC236}">
              <a16:creationId xmlns:a16="http://schemas.microsoft.com/office/drawing/2014/main" id="{CDD20061-CD97-282F-2D61-EB6084572FBC}"/>
            </a:ext>
          </a:extLst>
        </xdr:cNvPr>
        <xdr:cNvSpPr txBox="1">
          <a:spLocks noChangeArrowheads="1"/>
        </xdr:cNvSpPr>
      </xdr:nvSpPr>
      <xdr:spPr bwMode="auto">
        <a:xfrm>
          <a:off x="142875" y="523875"/>
          <a:ext cx="5295424" cy="312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45720" tIns="32004" rIns="0" bIns="0" anchor="t" upright="1">
          <a:spAutoFit/>
        </a:bodyPr>
        <a:lstStyle/>
        <a:p>
          <a:pPr algn="l" rtl="0">
            <a:defRPr sz="1000"/>
          </a:pPr>
          <a:r>
            <a:rPr lang="en-GB" sz="1800" b="1" i="0" u="none" strike="noStrike" baseline="0">
              <a:solidFill>
                <a:srgbClr val="000000"/>
              </a:solidFill>
              <a:latin typeface="Verdana"/>
              <a:ea typeface="Verdana"/>
              <a:cs typeface="Verdana"/>
            </a:rPr>
            <a:t>Safe Storage Time Calculator for Cereals</a:t>
          </a:r>
        </a:p>
      </xdr:txBody>
    </xdr:sp>
    <xdr:clientData/>
  </xdr:oneCellAnchor>
  <xdr:oneCellAnchor>
    <xdr:from>
      <xdr:col>0</xdr:col>
      <xdr:colOff>228600</xdr:colOff>
      <xdr:row>5</xdr:row>
      <xdr:rowOff>152400</xdr:rowOff>
    </xdr:from>
    <xdr:ext cx="3651321" cy="174343"/>
    <xdr:sp macro="" textlink="">
      <xdr:nvSpPr>
        <xdr:cNvPr id="8204" name="Text Box 12">
          <a:extLst>
            <a:ext uri="{FF2B5EF4-FFF2-40B4-BE49-F238E27FC236}">
              <a16:creationId xmlns:a16="http://schemas.microsoft.com/office/drawing/2014/main" id="{874ED22B-848C-BC6A-3475-95D5F59E0507}"/>
            </a:ext>
          </a:extLst>
        </xdr:cNvPr>
        <xdr:cNvSpPr txBox="1">
          <a:spLocks noChangeArrowheads="1"/>
        </xdr:cNvSpPr>
      </xdr:nvSpPr>
      <xdr:spPr bwMode="auto">
        <a:xfrm>
          <a:off x="228600" y="977900"/>
          <a:ext cx="3651321" cy="1743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000" b="1" i="0" u="none" strike="noStrike" baseline="0">
              <a:solidFill>
                <a:srgbClr val="000000"/>
              </a:solidFill>
              <a:latin typeface="Verdana"/>
              <a:ea typeface="Verdana"/>
              <a:cs typeface="Verdana"/>
            </a:rPr>
            <a:t>Sponsored by the HGCA – promoting safer storage</a:t>
          </a:r>
        </a:p>
      </xdr:txBody>
    </xdr:sp>
    <xdr:clientData/>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Agricultural and Horticultural Development Board logo.</v>
  </rv>
  <rv s="0">
    <v>1</v>
    <v>6</v>
    <v>Agricultural and Horticultural Development Board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6CDB1D-2B05-443C-9DD8-5971C2BF3736}" name="Table1" displayName="Table1" ref="A3:K23" totalsRowShown="0" headerRowDxfId="19" dataDxfId="18" tableBorderDxfId="17">
  <autoFilter ref="A3:K23" xr:uid="{F96CDB1D-2B05-443C-9DD8-5971C2BF37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60244E9-3721-43D5-B120-3F48534FF198}" name="Entry Number " dataDxfId="16"/>
    <tableColumn id="2" xr3:uid="{092C293D-434D-4D41-8744-E64F99BB0FBA}" name="Date " dataDxfId="15"/>
    <tableColumn id="3" xr3:uid="{DDF5DDD8-61F7-4551-B0B9-52C9D33AD903}" name="Temperature (°C)" dataDxfId="14"/>
    <tableColumn id="4" xr3:uid="{FF4612FA-CF9C-4B25-8830-70D1B1E47FF5}" name="Moisture content (%)" dataDxfId="13"/>
    <tableColumn id="5" xr3:uid="{0FE121A7-75B3-444E-AE40-2058DB48AAED}" name="Total storage days" dataDxfId="12">
      <calculatedColumnFormula>IF(B4="","",B4-$B$4)</calculatedColumnFormula>
    </tableColumn>
    <tableColumn id="6" xr3:uid="{A5D4A038-0486-448B-8CE6-52BFE3E3D091}" name="Days elapsed" dataDxfId="11"/>
    <tableColumn id="7" xr3:uid="{20AC3BBB-D0AE-4D82-AC10-F2AD2C74C0F3}" name="Overall safe storage period (days)" dataDxfId="10">
      <calculatedColumnFormula>IF(H4="","",MIN(H4:K4))</calculatedColumnFormula>
    </tableColumn>
    <tableColumn id="8" xr3:uid="{9175AC3E-56AF-40B3-A015-5FA0D4F296E3}" name="Mould / ochratoxin A (OTA) Risk (days remaining)" dataDxfId="9"/>
    <tableColumn id="9" xr3:uid="{4704651B-9653-4C31-ABC2-FE7D31D61D06}" name="Germination Risk (days remaining)" dataDxfId="8"/>
    <tableColumn id="10" xr3:uid="{474FD8CA-7B54-478F-8F49-A54EF592C2C4}" name="Insects risk (days remaining)" dataDxfId="7"/>
    <tableColumn id="11" xr3:uid="{4EA08F36-8E1E-48D6-9F7C-F4D9B5B5502A}" name="Mite Risk (days remaning)"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D8BE03-458D-47A8-8691-57CFC47415CC}" name="Table3" displayName="Table3" ref="A26:B32" totalsRowShown="0" headerRowDxfId="5" tableBorderDxfId="4">
  <autoFilter ref="A26:B32" xr:uid="{7BD8BE03-458D-47A8-8691-57CFC47415CC}">
    <filterColumn colId="0" hiddenButton="1"/>
    <filterColumn colId="1" hiddenButton="1"/>
  </autoFilter>
  <tableColumns count="2">
    <tableColumn id="1" xr3:uid="{4B46708B-E831-40A8-8B1B-91D3732FD918}" name="." dataDxfId="3"/>
    <tableColumn id="2" xr3:uid="{AB0AA181-5002-46BA-AA42-C1B2394EE8E7}" name="Farm Data " dataDxfId="2"/>
  </tableColumns>
  <tableStyleInfo name="Table Style vertical header"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3F6CC-3762-4E96-870E-19A53AD454AA}">
  <sheetPr codeName="Sheet1">
    <pageSetUpPr fitToPage="1"/>
  </sheetPr>
  <dimension ref="A1:O33"/>
  <sheetViews>
    <sheetView zoomScale="110" zoomScaleNormal="110" workbookViewId="0">
      <selection activeCell="A2" sqref="A2"/>
    </sheetView>
  </sheetViews>
  <sheetFormatPr defaultColWidth="9.140625" defaultRowHeight="12.75" x14ac:dyDescent="0.2"/>
  <cols>
    <col min="1" max="1" width="238.5703125" style="1" customWidth="1"/>
    <col min="2" max="13" width="9.140625" style="1"/>
    <col min="14" max="14" width="4.42578125" style="1" customWidth="1"/>
    <col min="15" max="16384" width="9.140625" style="1"/>
  </cols>
  <sheetData>
    <row r="1" spans="1:1" ht="51" customHeight="1" x14ac:dyDescent="0.2">
      <c r="A1" s="3" t="e" vm="1">
        <v>#VALUE!</v>
      </c>
    </row>
    <row r="2" spans="1:1" ht="30" x14ac:dyDescent="0.2">
      <c r="A2" s="5" t="s">
        <v>89</v>
      </c>
    </row>
    <row r="3" spans="1:1" ht="284.25" x14ac:dyDescent="0.25">
      <c r="A3" s="8" t="s">
        <v>111</v>
      </c>
    </row>
    <row r="32" spans="2:15" s="2" customFormat="1" ht="36" customHeight="1" x14ac:dyDescent="0.2">
      <c r="B32" s="137"/>
      <c r="C32" s="137"/>
      <c r="D32" s="137"/>
      <c r="E32" s="137"/>
      <c r="F32" s="137"/>
      <c r="G32" s="137"/>
      <c r="H32" s="137"/>
      <c r="I32" s="137"/>
      <c r="J32" s="137"/>
      <c r="K32" s="137"/>
      <c r="L32" s="137"/>
      <c r="M32" s="137"/>
      <c r="N32" s="137"/>
      <c r="O32" s="137"/>
    </row>
    <row r="33" spans="2:15" s="2" customFormat="1" ht="24.75" customHeight="1" x14ac:dyDescent="0.2">
      <c r="B33" s="137"/>
      <c r="C33" s="137"/>
      <c r="D33" s="137"/>
      <c r="E33" s="137"/>
      <c r="F33" s="137"/>
      <c r="G33" s="137"/>
      <c r="H33" s="137"/>
      <c r="I33" s="137"/>
      <c r="J33" s="137"/>
      <c r="K33" s="137"/>
      <c r="L33" s="137"/>
      <c r="M33" s="137"/>
      <c r="N33" s="137"/>
      <c r="O33" s="137"/>
    </row>
  </sheetData>
  <sheetProtection algorithmName="SHA-512" hashValue="v417AJLOvRRM0rXqsOYAphMnObSMIIvIrD8l9CkQKD/AMJl1hPiq18Ws/AIEnyt2Roe9FI/y+vgLpeuYnNYBGg==" saltValue="06gX96M6loZkBTYYO5XxfQ==" spinCount="100000" sheet="1" objects="1" scenarios="1"/>
  <mergeCells count="2">
    <mergeCell ref="B32:O32"/>
    <mergeCell ref="B33:O33"/>
  </mergeCells>
  <phoneticPr fontId="1" type="noConversion"/>
  <pageMargins left="0.74803149606299213" right="0.74803149606299213" top="0.98425196850393704" bottom="0.98425196850393704" header="0.51181102362204722" footer="0.51181102362204722"/>
  <pageSetup paperSize="9" scale="97" orientation="portrait" r:id="rId1"/>
  <headerFooter alignWithMargins="0"/>
  <drawing r:id="rId2"/>
  <legacyDrawing r:id="rId3"/>
  <controls>
    <mc:AlternateContent xmlns:mc="http://schemas.openxmlformats.org/markup-compatibility/2006">
      <mc:Choice Requires="x14">
        <control shapeId="7179" r:id="rId4" name="CommandButton1">
          <controlPr defaultSize="0" autoLine="0" r:id="rId5">
            <anchor moveWithCells="1">
              <from>
                <xdr:col>10</xdr:col>
                <xdr:colOff>476250</xdr:colOff>
                <xdr:row>3</xdr:row>
                <xdr:rowOff>104775</xdr:rowOff>
              </from>
              <to>
                <xdr:col>12</xdr:col>
                <xdr:colOff>552450</xdr:colOff>
                <xdr:row>5</xdr:row>
                <xdr:rowOff>85725</xdr:rowOff>
              </to>
            </anchor>
          </controlPr>
        </control>
      </mc:Choice>
      <mc:Fallback>
        <control shapeId="7179"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CD790-EBF3-4138-9D83-967EE15FF6A6}">
  <sheetPr codeName="Sheet5"/>
  <dimension ref="A1:A4"/>
  <sheetViews>
    <sheetView workbookViewId="0"/>
  </sheetViews>
  <sheetFormatPr defaultColWidth="9.140625" defaultRowHeight="12.75" x14ac:dyDescent="0.2"/>
  <cols>
    <col min="1" max="1" width="143.85546875" style="7" customWidth="1"/>
    <col min="2" max="16384" width="9.140625" style="7"/>
  </cols>
  <sheetData>
    <row r="1" spans="1:1" s="4" customFormat="1" ht="51" customHeight="1" x14ac:dyDescent="0.2">
      <c r="A1" s="3" t="e" vm="2">
        <v>#VALUE!</v>
      </c>
    </row>
    <row r="2" spans="1:1" s="4" customFormat="1" ht="43.5" customHeight="1" x14ac:dyDescent="0.2">
      <c r="A2" s="5" t="s">
        <v>86</v>
      </c>
    </row>
    <row r="3" spans="1:1" s="4" customFormat="1" ht="409.5" customHeight="1" x14ac:dyDescent="0.2">
      <c r="A3" s="6" t="s">
        <v>112</v>
      </c>
    </row>
    <row r="4" spans="1:1" s="4" customFormat="1" ht="165" x14ac:dyDescent="0.2">
      <c r="A4" s="6" t="s">
        <v>90</v>
      </c>
    </row>
  </sheetData>
  <sheetProtection algorithmName="SHA-512" hashValue="8xjl1df38yuRuFzD1E2wEPIxzRyBB4qJJT41/90HbcApkQccXs/ze0XoWE96X5a839IChBDZPi3aVuIAnBWKmQ==" saltValue="ahRgKkwqr/r2LKcqffV7hw==" spinCount="100000" sheet="1" objects="1" scenarios="1"/>
  <phoneticPr fontId="1"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E376-92B6-435A-A6AE-87B92FBDDE5B}">
  <sheetPr codeName="Sheet2">
    <pageSetUpPr fitToPage="1"/>
  </sheetPr>
  <dimension ref="A1:S32"/>
  <sheetViews>
    <sheetView tabSelected="1" zoomScale="60" zoomScaleNormal="60" workbookViewId="0">
      <selection activeCell="D7" sqref="D7"/>
    </sheetView>
  </sheetViews>
  <sheetFormatPr defaultColWidth="9.140625" defaultRowHeight="16.5" x14ac:dyDescent="0.25"/>
  <cols>
    <col min="1" max="1" width="28.5703125" style="13" customWidth="1"/>
    <col min="2" max="2" width="33.140625" style="13" customWidth="1"/>
    <col min="3" max="3" width="29" style="13" customWidth="1"/>
    <col min="4" max="4" width="32.7109375" style="13" customWidth="1"/>
    <col min="5" max="5" width="24.140625" style="13" customWidth="1"/>
    <col min="6" max="6" width="26" style="13" customWidth="1"/>
    <col min="7" max="7" width="41" style="13" customWidth="1"/>
    <col min="8" max="8" width="38.5703125" style="13" customWidth="1"/>
    <col min="9" max="9" width="35.5703125" style="13" customWidth="1"/>
    <col min="10" max="10" width="28.5703125" style="13" customWidth="1"/>
    <col min="11" max="11" width="24" style="13" customWidth="1"/>
    <col min="12" max="12" width="7" style="14" customWidth="1"/>
    <col min="13" max="15" width="9.140625" style="13"/>
    <col min="16" max="16" width="13.85546875" style="13" bestFit="1" customWidth="1"/>
    <col min="17" max="17" width="10.28515625" style="13" bestFit="1" customWidth="1"/>
    <col min="18" max="16384" width="9.140625" style="13"/>
  </cols>
  <sheetData>
    <row r="1" spans="1:19" ht="42" customHeight="1" x14ac:dyDescent="0.25">
      <c r="A1" s="11" t="s">
        <v>87</v>
      </c>
      <c r="B1" s="12"/>
      <c r="C1" s="12"/>
      <c r="D1" s="12"/>
      <c r="E1" s="12"/>
      <c r="F1" s="12"/>
      <c r="G1" s="12"/>
      <c r="H1" s="12"/>
      <c r="I1" s="12"/>
      <c r="J1" s="12"/>
      <c r="K1" s="13" t="e" vm="2">
        <v>#VALUE!</v>
      </c>
    </row>
    <row r="2" spans="1:19" ht="46.5" customHeight="1" thickBot="1" x14ac:dyDescent="0.3">
      <c r="A2" s="15" t="s">
        <v>88</v>
      </c>
      <c r="B2" s="16"/>
      <c r="C2" s="16"/>
      <c r="D2" s="16"/>
      <c r="E2" s="16"/>
      <c r="F2" s="16"/>
      <c r="G2" s="16"/>
      <c r="H2" s="16"/>
      <c r="I2" s="16"/>
      <c r="J2" s="16"/>
      <c r="K2" s="16"/>
    </row>
    <row r="3" spans="1:19" ht="35.25" thickBot="1" x14ac:dyDescent="0.35">
      <c r="A3" s="124" t="s">
        <v>94</v>
      </c>
      <c r="B3" s="124" t="s">
        <v>95</v>
      </c>
      <c r="C3" s="124" t="s">
        <v>101</v>
      </c>
      <c r="D3" s="124" t="s">
        <v>96</v>
      </c>
      <c r="E3" s="124" t="s">
        <v>6</v>
      </c>
      <c r="F3" s="125" t="s">
        <v>5</v>
      </c>
      <c r="G3" s="126" t="s">
        <v>85</v>
      </c>
      <c r="H3" s="124" t="s">
        <v>100</v>
      </c>
      <c r="I3" s="124" t="s">
        <v>97</v>
      </c>
      <c r="J3" s="124" t="s">
        <v>98</v>
      </c>
      <c r="K3" s="124" t="s">
        <v>99</v>
      </c>
      <c r="L3" s="17"/>
      <c r="M3" s="17"/>
      <c r="N3" s="17"/>
      <c r="O3" s="17"/>
    </row>
    <row r="4" spans="1:19" ht="24.95" customHeight="1" x14ac:dyDescent="0.25">
      <c r="A4" s="127">
        <v>1</v>
      </c>
      <c r="B4" s="9"/>
      <c r="C4" s="121"/>
      <c r="D4" s="118"/>
      <c r="E4" s="119" t="str">
        <f t="shared" ref="E4:E23" si="0">IF(B4="","",B4-$B$4)</f>
        <v/>
      </c>
      <c r="F4" s="120" t="str">
        <f>IF(B4="","",Table1[[#This Row],[Total storage days]])</f>
        <v/>
      </c>
      <c r="G4" s="134" t="str">
        <f t="shared" ref="G4:G23" si="1">IF(H4="","",MIN(H4:K4))</f>
        <v/>
      </c>
      <c r="H4" s="115" t="str">
        <f>IF(OR(B4="",C4="",D4=""),"",'Storage calculator'!P10)</f>
        <v/>
      </c>
      <c r="I4" s="18" t="str">
        <f>IF(OR(B4="",C4="",D4=""),"",'Storage calculator'!Q10)</f>
        <v/>
      </c>
      <c r="J4" s="18" t="str">
        <f>IF(OR(B4="",C4="",D4=""),"",'Storage calculator'!R10)</f>
        <v/>
      </c>
      <c r="K4" s="19" t="str">
        <f>IF(OR(B4="",C4="",D4=""),"",'Storage calculator'!S10)</f>
        <v/>
      </c>
      <c r="L4"/>
      <c r="M4"/>
      <c r="N4"/>
      <c r="O4"/>
      <c r="P4"/>
      <c r="Q4"/>
      <c r="R4"/>
      <c r="S4"/>
    </row>
    <row r="5" spans="1:19" ht="24.95" customHeight="1" x14ac:dyDescent="0.25">
      <c r="A5" s="128">
        <v>2</v>
      </c>
      <c r="B5" s="9"/>
      <c r="C5" s="121"/>
      <c r="D5" s="121"/>
      <c r="E5" s="119" t="str">
        <f t="shared" si="0"/>
        <v/>
      </c>
      <c r="F5" s="122" t="str">
        <f>'Storage calculator'!O11</f>
        <v/>
      </c>
      <c r="G5" s="135" t="str">
        <f t="shared" si="1"/>
        <v/>
      </c>
      <c r="H5" s="116" t="str">
        <f>IF(OR(B5="",C5="",D5="",H4=""),"",'Storage calculator'!T11)</f>
        <v/>
      </c>
      <c r="I5" s="20" t="str">
        <f>IF(OR(B5="",C5="",D5="",H4=""),"",'Storage calculator'!U11)</f>
        <v/>
      </c>
      <c r="J5" s="20" t="str">
        <f>IF(OR(B5="",C5="",D5="",H4=""),"",'Storage calculator'!V11)</f>
        <v/>
      </c>
      <c r="K5" s="21" t="str">
        <f>IF(OR(B5="",C5="",D5="",H4=""),"",'Storage calculator'!W11)</f>
        <v/>
      </c>
      <c r="L5"/>
      <c r="M5"/>
      <c r="N5"/>
      <c r="O5"/>
      <c r="P5"/>
      <c r="Q5"/>
      <c r="R5"/>
      <c r="S5"/>
    </row>
    <row r="6" spans="1:19" ht="24.95" customHeight="1" x14ac:dyDescent="0.25">
      <c r="A6" s="128">
        <v>3</v>
      </c>
      <c r="B6" s="9"/>
      <c r="C6" s="121"/>
      <c r="D6" s="121"/>
      <c r="E6" s="119" t="str">
        <f t="shared" si="0"/>
        <v/>
      </c>
      <c r="F6" s="122" t="str">
        <f>'Storage calculator'!O13</f>
        <v/>
      </c>
      <c r="G6" s="135" t="str">
        <f t="shared" si="1"/>
        <v/>
      </c>
      <c r="H6" s="116" t="str">
        <f>IF(OR(B6="",C6="",D6="",H5=""),"",'Storage calculator'!T13)</f>
        <v/>
      </c>
      <c r="I6" s="20" t="str">
        <f>IF(OR(B6="",C6="",D6="",H5=""),"",'Storage calculator'!U13)</f>
        <v/>
      </c>
      <c r="J6" s="20" t="str">
        <f>IF(OR(B6="",C6="",D6="",H5=""),"",'Storage calculator'!V13)</f>
        <v/>
      </c>
      <c r="K6" s="21" t="str">
        <f>IF(OR(B6="",C6="",D6="",H5=""),"",'Storage calculator'!W13)</f>
        <v/>
      </c>
      <c r="L6"/>
      <c r="M6"/>
      <c r="N6"/>
      <c r="O6"/>
      <c r="P6"/>
      <c r="Q6"/>
      <c r="R6"/>
      <c r="S6"/>
    </row>
    <row r="7" spans="1:19" ht="24.95" customHeight="1" x14ac:dyDescent="0.25">
      <c r="A7" s="128">
        <v>4</v>
      </c>
      <c r="B7" s="9"/>
      <c r="C7" s="121"/>
      <c r="D7" s="121"/>
      <c r="E7" s="119" t="str">
        <f t="shared" si="0"/>
        <v/>
      </c>
      <c r="F7" s="122" t="str">
        <f>'Storage calculator'!O15</f>
        <v/>
      </c>
      <c r="G7" s="135" t="str">
        <f t="shared" si="1"/>
        <v/>
      </c>
      <c r="H7" s="116" t="str">
        <f>IF(OR(B7="",C7="",D7="",H6=""),"",'Storage calculator'!T15)</f>
        <v/>
      </c>
      <c r="I7" s="20" t="str">
        <f>IF(OR(B7="",C7="",D7="",H6=""),"",'Storage calculator'!U15)</f>
        <v/>
      </c>
      <c r="J7" s="20" t="str">
        <f>IF(OR(B7="",C7="",D7="",H6=""),"",'Storage calculator'!V15)</f>
        <v/>
      </c>
      <c r="K7" s="21" t="str">
        <f>IF(OR(B7="",C7="",D7="",H6=""),"",'Storage calculator'!W15)</f>
        <v/>
      </c>
      <c r="L7"/>
      <c r="M7"/>
      <c r="N7"/>
      <c r="O7"/>
      <c r="P7"/>
      <c r="Q7"/>
      <c r="R7"/>
      <c r="S7"/>
    </row>
    <row r="8" spans="1:19" ht="24.95" customHeight="1" x14ac:dyDescent="0.25">
      <c r="A8" s="128">
        <v>5</v>
      </c>
      <c r="B8" s="9"/>
      <c r="C8" s="121"/>
      <c r="D8" s="121"/>
      <c r="E8" s="119" t="str">
        <f t="shared" si="0"/>
        <v/>
      </c>
      <c r="F8" s="122" t="str">
        <f>'Storage calculator'!O17</f>
        <v/>
      </c>
      <c r="G8" s="135" t="str">
        <f t="shared" si="1"/>
        <v/>
      </c>
      <c r="H8" s="116" t="str">
        <f>IF(OR(B8="",C8="",D8="",H7=""),"",'Storage calculator'!T17)</f>
        <v/>
      </c>
      <c r="I8" s="20" t="str">
        <f>IF(OR(B8="",C8="",D8="",H7=""),"",'Storage calculator'!U17)</f>
        <v/>
      </c>
      <c r="J8" s="20" t="str">
        <f>IF(OR(B8="",C8="",D8="",H7=""),"",'Storage calculator'!V17)</f>
        <v/>
      </c>
      <c r="K8" s="21" t="str">
        <f>IF(OR(B8="",C8="",D8="",H7=""),"",'Storage calculator'!W17)</f>
        <v/>
      </c>
      <c r="L8"/>
      <c r="M8"/>
      <c r="N8"/>
      <c r="O8"/>
      <c r="P8"/>
      <c r="Q8"/>
      <c r="R8"/>
      <c r="S8"/>
    </row>
    <row r="9" spans="1:19" ht="24.95" customHeight="1" x14ac:dyDescent="0.25">
      <c r="A9" s="128">
        <v>6</v>
      </c>
      <c r="B9" s="9"/>
      <c r="C9" s="121"/>
      <c r="D9" s="121"/>
      <c r="E9" s="119" t="str">
        <f t="shared" si="0"/>
        <v/>
      </c>
      <c r="F9" s="122" t="str">
        <f>'Storage calculator'!O19</f>
        <v/>
      </c>
      <c r="G9" s="135" t="str">
        <f t="shared" si="1"/>
        <v/>
      </c>
      <c r="H9" s="116" t="str">
        <f>IF(OR(B9="",C9="",D9="",H8=""),"",'Storage calculator'!T19)</f>
        <v/>
      </c>
      <c r="I9" s="20" t="str">
        <f>IF(OR(B9="",C9="",D9="",H8=""),"",'Storage calculator'!U19)</f>
        <v/>
      </c>
      <c r="J9" s="20" t="str">
        <f>IF(OR(B9="",C9="",D9="",H8=""),"",'Storage calculator'!V19)</f>
        <v/>
      </c>
      <c r="K9" s="21" t="str">
        <f>IF(OR(B9="",C9="",D9="",H8=""),"",'Storage calculator'!W19)</f>
        <v/>
      </c>
      <c r="L9"/>
      <c r="M9"/>
      <c r="N9"/>
      <c r="O9"/>
      <c r="P9"/>
      <c r="Q9"/>
      <c r="R9"/>
      <c r="S9"/>
    </row>
    <row r="10" spans="1:19" ht="24.95" customHeight="1" x14ac:dyDescent="0.25">
      <c r="A10" s="128">
        <v>7</v>
      </c>
      <c r="B10" s="9"/>
      <c r="C10" s="121"/>
      <c r="D10" s="121"/>
      <c r="E10" s="119" t="str">
        <f t="shared" si="0"/>
        <v/>
      </c>
      <c r="F10" s="122" t="str">
        <f>'Storage calculator'!O21</f>
        <v/>
      </c>
      <c r="G10" s="135" t="str">
        <f t="shared" si="1"/>
        <v/>
      </c>
      <c r="H10" s="116" t="str">
        <f>IF(OR(B10="",C10="",D10="",H9=""),"",'Storage calculator'!T21)</f>
        <v/>
      </c>
      <c r="I10" s="20" t="str">
        <f>IF(OR(B10="",C10="",D10="",H9=""),"",'Storage calculator'!U21)</f>
        <v/>
      </c>
      <c r="J10" s="20" t="str">
        <f>IF(OR(B10="",C10="",D10="",H9=""),"",'Storage calculator'!V21)</f>
        <v/>
      </c>
      <c r="K10" s="21" t="str">
        <f>IF(OR(B10="",C10="",D10="",H9=""),"",'Storage calculator'!W21)</f>
        <v/>
      </c>
      <c r="L10"/>
      <c r="M10"/>
      <c r="N10"/>
      <c r="O10"/>
      <c r="P10"/>
      <c r="Q10"/>
      <c r="R10"/>
      <c r="S10"/>
    </row>
    <row r="11" spans="1:19" ht="24.95" customHeight="1" x14ac:dyDescent="0.25">
      <c r="A11" s="128">
        <v>8</v>
      </c>
      <c r="B11" s="9"/>
      <c r="C11" s="121"/>
      <c r="D11" s="121"/>
      <c r="E11" s="119" t="str">
        <f t="shared" si="0"/>
        <v/>
      </c>
      <c r="F11" s="122" t="str">
        <f>'Storage calculator'!O23</f>
        <v/>
      </c>
      <c r="G11" s="135" t="str">
        <f t="shared" si="1"/>
        <v/>
      </c>
      <c r="H11" s="116" t="str">
        <f>IF(OR(B11="",C11="",D11="",H10=""),"",'Storage calculator'!T23)</f>
        <v/>
      </c>
      <c r="I11" s="20" t="str">
        <f>IF(OR(B11="",C11="",D11="",H10=""),"",'Storage calculator'!U23)</f>
        <v/>
      </c>
      <c r="J11" s="20" t="str">
        <f>IF(OR(B11="",C11="",D11="",H10=""),"",'Storage calculator'!V23)</f>
        <v/>
      </c>
      <c r="K11" s="21" t="str">
        <f>IF(OR(B11="",C11="",D11="",H10=""),"",'Storage calculator'!W23)</f>
        <v/>
      </c>
      <c r="L11"/>
      <c r="M11"/>
      <c r="N11"/>
      <c r="O11"/>
      <c r="P11"/>
      <c r="Q11"/>
      <c r="R11"/>
      <c r="S11"/>
    </row>
    <row r="12" spans="1:19" ht="24.95" customHeight="1" x14ac:dyDescent="0.25">
      <c r="A12" s="128">
        <v>9</v>
      </c>
      <c r="B12" s="9"/>
      <c r="C12" s="121"/>
      <c r="D12" s="121"/>
      <c r="E12" s="119" t="str">
        <f t="shared" si="0"/>
        <v/>
      </c>
      <c r="F12" s="122" t="str">
        <f>'Storage calculator'!O25</f>
        <v/>
      </c>
      <c r="G12" s="135" t="str">
        <f t="shared" si="1"/>
        <v/>
      </c>
      <c r="H12" s="116" t="str">
        <f>IF(OR(B12="",C12="",D12="",H11=""),"",'Storage calculator'!T25)</f>
        <v/>
      </c>
      <c r="I12" s="20" t="str">
        <f>IF(OR(B12="",C12="",D12="",H11=""),"",'Storage calculator'!U25)</f>
        <v/>
      </c>
      <c r="J12" s="20" t="str">
        <f>IF(OR(B12="",C12="",D12="",H11=""),"",'Storage calculator'!V25)</f>
        <v/>
      </c>
      <c r="K12" s="21" t="str">
        <f>IF(OR(B12="",C12="",D12="",H11=""),"",'Storage calculator'!W25)</f>
        <v/>
      </c>
      <c r="L12"/>
      <c r="M12"/>
      <c r="N12"/>
      <c r="O12"/>
      <c r="P12"/>
      <c r="Q12"/>
      <c r="R12"/>
      <c r="S12"/>
    </row>
    <row r="13" spans="1:19" ht="24.95" customHeight="1" x14ac:dyDescent="0.25">
      <c r="A13" s="128">
        <v>10</v>
      </c>
      <c r="B13" s="9"/>
      <c r="C13" s="121"/>
      <c r="D13" s="121"/>
      <c r="E13" s="119" t="str">
        <f t="shared" si="0"/>
        <v/>
      </c>
      <c r="F13" s="122" t="str">
        <f>'Storage calculator'!O27</f>
        <v/>
      </c>
      <c r="G13" s="135" t="str">
        <f t="shared" si="1"/>
        <v/>
      </c>
      <c r="H13" s="116" t="str">
        <f>IF(OR(B13="",C13="",D13="",H12=""),"",'Storage calculator'!T27)</f>
        <v/>
      </c>
      <c r="I13" s="20" t="str">
        <f>IF(OR(B13="",C13="",D13="",H12=""),"",'Storage calculator'!U27)</f>
        <v/>
      </c>
      <c r="J13" s="20" t="str">
        <f>IF(OR(B13="",C13="",D13="",H12=""),"",'Storage calculator'!V27)</f>
        <v/>
      </c>
      <c r="K13" s="21" t="str">
        <f>IF(OR(B13="",C13="",D13="",H12=""),"",'Storage calculator'!W27)</f>
        <v/>
      </c>
      <c r="L13"/>
      <c r="M13"/>
      <c r="N13"/>
      <c r="O13"/>
      <c r="P13"/>
      <c r="Q13"/>
      <c r="R13"/>
      <c r="S13"/>
    </row>
    <row r="14" spans="1:19" ht="24.95" customHeight="1" x14ac:dyDescent="0.25">
      <c r="A14" s="128">
        <v>11</v>
      </c>
      <c r="B14" s="9"/>
      <c r="C14" s="121"/>
      <c r="D14" s="121"/>
      <c r="E14" s="119" t="str">
        <f t="shared" si="0"/>
        <v/>
      </c>
      <c r="F14" s="122" t="str">
        <f>'Storage calculator'!O29</f>
        <v/>
      </c>
      <c r="G14" s="135" t="str">
        <f t="shared" si="1"/>
        <v/>
      </c>
      <c r="H14" s="116" t="str">
        <f>IF(OR(B14="",C14="",D14="",H13=""),"",'Storage calculator'!T29)</f>
        <v/>
      </c>
      <c r="I14" s="20" t="str">
        <f>IF(OR(B14="",C14="",D14="",H13=""),"",'Storage calculator'!U29)</f>
        <v/>
      </c>
      <c r="J14" s="20" t="str">
        <f>IF(OR(B14="",C14="",D14="",H13=""),"",'Storage calculator'!V29)</f>
        <v/>
      </c>
      <c r="K14" s="21" t="str">
        <f>IF(OR(B14="",C14="",D14="",H13=""),"",'Storage calculator'!W29)</f>
        <v/>
      </c>
      <c r="L14"/>
      <c r="M14"/>
      <c r="N14"/>
      <c r="O14"/>
      <c r="P14"/>
      <c r="Q14"/>
      <c r="R14"/>
      <c r="S14"/>
    </row>
    <row r="15" spans="1:19" ht="24.95" customHeight="1" x14ac:dyDescent="0.25">
      <c r="A15" s="128">
        <v>12</v>
      </c>
      <c r="B15" s="9"/>
      <c r="C15" s="121"/>
      <c r="D15" s="121"/>
      <c r="E15" s="119" t="str">
        <f t="shared" si="0"/>
        <v/>
      </c>
      <c r="F15" s="122" t="str">
        <f>'Storage calculator'!O31</f>
        <v/>
      </c>
      <c r="G15" s="135" t="str">
        <f t="shared" si="1"/>
        <v/>
      </c>
      <c r="H15" s="116" t="str">
        <f>IF(OR(B15="",C15="",D15="",H14=""),"",'Storage calculator'!T31)</f>
        <v/>
      </c>
      <c r="I15" s="20" t="str">
        <f>IF(OR(B15="",C15="",D15="",H14=""),"",'Storage calculator'!U31)</f>
        <v/>
      </c>
      <c r="J15" s="20" t="str">
        <f>IF(OR(B15="",C15="",D15="",H14=""),"",'Storage calculator'!V31)</f>
        <v/>
      </c>
      <c r="K15" s="21" t="str">
        <f>IF(OR(B15="",C15="",D15="",H14=""),"",'Storage calculator'!W31)</f>
        <v/>
      </c>
      <c r="L15"/>
      <c r="M15"/>
      <c r="N15"/>
      <c r="O15"/>
      <c r="P15"/>
      <c r="Q15"/>
      <c r="R15"/>
      <c r="S15"/>
    </row>
    <row r="16" spans="1:19" ht="24.95" customHeight="1" x14ac:dyDescent="0.25">
      <c r="A16" s="128">
        <v>13</v>
      </c>
      <c r="B16" s="9"/>
      <c r="C16" s="121"/>
      <c r="D16" s="121"/>
      <c r="E16" s="119" t="str">
        <f t="shared" si="0"/>
        <v/>
      </c>
      <c r="F16" s="122" t="str">
        <f>'Storage calculator'!O33</f>
        <v/>
      </c>
      <c r="G16" s="135" t="str">
        <f t="shared" si="1"/>
        <v/>
      </c>
      <c r="H16" s="116" t="str">
        <f>IF(OR(B16="",C16="",D16="",H15=""),"",'Storage calculator'!T33)</f>
        <v/>
      </c>
      <c r="I16" s="20" t="str">
        <f>IF(OR(B16="",C16="",D16="",H15=""),"",'Storage calculator'!U33)</f>
        <v/>
      </c>
      <c r="J16" s="20" t="str">
        <f>IF(OR(B16="",C16="",D16="",H15=""),"",'Storage calculator'!V33)</f>
        <v/>
      </c>
      <c r="K16" s="21" t="str">
        <f>IF(OR(B16="",C16="",D16="",H15=""),"",'Storage calculator'!W33)</f>
        <v/>
      </c>
      <c r="L16"/>
      <c r="M16"/>
      <c r="N16"/>
      <c r="O16"/>
      <c r="P16"/>
      <c r="Q16"/>
      <c r="R16"/>
      <c r="S16"/>
    </row>
    <row r="17" spans="1:19" ht="24.95" customHeight="1" x14ac:dyDescent="0.25">
      <c r="A17" s="128">
        <v>14</v>
      </c>
      <c r="B17" s="9"/>
      <c r="C17" s="121"/>
      <c r="D17" s="121"/>
      <c r="E17" s="119" t="str">
        <f t="shared" si="0"/>
        <v/>
      </c>
      <c r="F17" s="122" t="str">
        <f>'Storage calculator'!O35</f>
        <v/>
      </c>
      <c r="G17" s="135" t="str">
        <f t="shared" si="1"/>
        <v/>
      </c>
      <c r="H17" s="116" t="str">
        <f>IF(OR(B17="",C17="",D17="",H16=""),"",'Storage calculator'!T35)</f>
        <v/>
      </c>
      <c r="I17" s="20" t="str">
        <f>IF(OR(B17="",C17="",D17="",H16=""),"",'Storage calculator'!U35)</f>
        <v/>
      </c>
      <c r="J17" s="20" t="str">
        <f>IF(OR(B17="",C17="",D17="",H16=""),"",'Storage calculator'!V35)</f>
        <v/>
      </c>
      <c r="K17" s="21" t="str">
        <f>IF(OR(B17="",C17="",D17="",H16=""),"",'Storage calculator'!W35)</f>
        <v/>
      </c>
      <c r="L17"/>
      <c r="M17"/>
      <c r="N17"/>
      <c r="O17"/>
      <c r="P17"/>
      <c r="Q17"/>
      <c r="R17"/>
      <c r="S17"/>
    </row>
    <row r="18" spans="1:19" ht="24.95" customHeight="1" x14ac:dyDescent="0.25">
      <c r="A18" s="128">
        <v>15</v>
      </c>
      <c r="B18" s="9"/>
      <c r="C18" s="121"/>
      <c r="D18" s="121"/>
      <c r="E18" s="119" t="str">
        <f t="shared" si="0"/>
        <v/>
      </c>
      <c r="F18" s="122" t="str">
        <f>'Storage calculator'!O37</f>
        <v/>
      </c>
      <c r="G18" s="135" t="str">
        <f t="shared" si="1"/>
        <v/>
      </c>
      <c r="H18" s="116" t="str">
        <f>IF(OR(B18="",C18="",D18="",H17=""),"",'Storage calculator'!T37)</f>
        <v/>
      </c>
      <c r="I18" s="20" t="str">
        <f>IF(OR(B18="",C18="",D18="",H17=""),"",'Storage calculator'!U37)</f>
        <v/>
      </c>
      <c r="J18" s="20" t="str">
        <f>IF(OR(B18="",C18="",D18="",H17=""),"",'Storage calculator'!V37)</f>
        <v/>
      </c>
      <c r="K18" s="21" t="str">
        <f>IF(OR(B18="",C18="",D18="",H17=""),"",'Storage calculator'!W37)</f>
        <v/>
      </c>
      <c r="L18"/>
      <c r="M18"/>
      <c r="N18"/>
      <c r="O18"/>
      <c r="P18"/>
      <c r="Q18"/>
      <c r="R18"/>
      <c r="S18"/>
    </row>
    <row r="19" spans="1:19" ht="24.95" customHeight="1" x14ac:dyDescent="0.25">
      <c r="A19" s="128">
        <v>16</v>
      </c>
      <c r="B19" s="9"/>
      <c r="C19" s="121"/>
      <c r="D19" s="121"/>
      <c r="E19" s="119" t="str">
        <f t="shared" si="0"/>
        <v/>
      </c>
      <c r="F19" s="122" t="str">
        <f>'Storage calculator'!O39</f>
        <v/>
      </c>
      <c r="G19" s="135" t="str">
        <f t="shared" si="1"/>
        <v/>
      </c>
      <c r="H19" s="116" t="str">
        <f>IF(OR(B19="",C19="",D19="",H18=""),"",'Storage calculator'!T39)</f>
        <v/>
      </c>
      <c r="I19" s="20" t="str">
        <f>IF(OR(B19="",C19="",D19="",H18=""),"",'Storage calculator'!U39)</f>
        <v/>
      </c>
      <c r="J19" s="20" t="str">
        <f>IF(OR(B19="",C19="",D19="",H18=""),"",'Storage calculator'!V39)</f>
        <v/>
      </c>
      <c r="K19" s="21" t="str">
        <f>IF(OR(B19="",C19="",D19="",H18=""),"",'Storage calculator'!W39)</f>
        <v/>
      </c>
      <c r="L19"/>
      <c r="M19"/>
      <c r="N19"/>
      <c r="O19"/>
      <c r="P19"/>
      <c r="Q19"/>
      <c r="R19"/>
      <c r="S19"/>
    </row>
    <row r="20" spans="1:19" ht="24.95" customHeight="1" x14ac:dyDescent="0.25">
      <c r="A20" s="128">
        <v>17</v>
      </c>
      <c r="B20" s="9"/>
      <c r="C20" s="121"/>
      <c r="D20" s="121"/>
      <c r="E20" s="119" t="str">
        <f t="shared" si="0"/>
        <v/>
      </c>
      <c r="F20" s="122" t="str">
        <f>'Storage calculator'!O41</f>
        <v/>
      </c>
      <c r="G20" s="135" t="str">
        <f t="shared" si="1"/>
        <v/>
      </c>
      <c r="H20" s="116" t="str">
        <f>IF(OR(B20="",C20="",D20="",H19=""),"",'Storage calculator'!T41)</f>
        <v/>
      </c>
      <c r="I20" s="20" t="str">
        <f>IF(OR(B20="",C20="",D20="",H19=""),"",'Storage calculator'!U41)</f>
        <v/>
      </c>
      <c r="J20" s="20" t="str">
        <f>IF(OR(B20="",C20="",D20="",H19=""),"",'Storage calculator'!V41)</f>
        <v/>
      </c>
      <c r="K20" s="21" t="str">
        <f>IF(OR(B20="",C20="",D20="",H19=""),"",'Storage calculator'!W41)</f>
        <v/>
      </c>
      <c r="L20"/>
      <c r="M20"/>
      <c r="N20"/>
      <c r="O20"/>
      <c r="P20"/>
      <c r="Q20"/>
      <c r="R20"/>
      <c r="S20"/>
    </row>
    <row r="21" spans="1:19" ht="24.95" customHeight="1" x14ac:dyDescent="0.25">
      <c r="A21" s="128">
        <v>18</v>
      </c>
      <c r="B21" s="9"/>
      <c r="C21" s="121"/>
      <c r="D21" s="121"/>
      <c r="E21" s="119" t="str">
        <f t="shared" si="0"/>
        <v/>
      </c>
      <c r="F21" s="122" t="str">
        <f>'Storage calculator'!O43</f>
        <v/>
      </c>
      <c r="G21" s="135" t="str">
        <f t="shared" si="1"/>
        <v/>
      </c>
      <c r="H21" s="116" t="str">
        <f>IF(OR(B21="",C21="",D21="",H20=""),"",'Storage calculator'!T43)</f>
        <v/>
      </c>
      <c r="I21" s="20" t="str">
        <f>IF(OR(B21="",C21="",D21="",H20=""),"",'Storage calculator'!U43)</f>
        <v/>
      </c>
      <c r="J21" s="20" t="str">
        <f>IF(OR(B21="",C21="",D21="",H20=""),"",'Storage calculator'!V43)</f>
        <v/>
      </c>
      <c r="K21" s="21" t="str">
        <f>IF(OR(B21="",C21="",D21="",H20=""),"",'Storage calculator'!W43)</f>
        <v/>
      </c>
      <c r="L21"/>
      <c r="M21"/>
      <c r="N21"/>
      <c r="O21"/>
      <c r="P21"/>
      <c r="Q21"/>
      <c r="R21"/>
      <c r="S21"/>
    </row>
    <row r="22" spans="1:19" ht="24.95" customHeight="1" x14ac:dyDescent="0.25">
      <c r="A22" s="128">
        <v>19</v>
      </c>
      <c r="B22" s="9"/>
      <c r="C22" s="121"/>
      <c r="D22" s="121"/>
      <c r="E22" s="119" t="str">
        <f t="shared" si="0"/>
        <v/>
      </c>
      <c r="F22" s="122" t="str">
        <f>'Storage calculator'!O45</f>
        <v/>
      </c>
      <c r="G22" s="135" t="str">
        <f t="shared" si="1"/>
        <v/>
      </c>
      <c r="H22" s="116" t="str">
        <f>IF(OR(B22="",C22="",D22="",H21=""),"",'Storage calculator'!T45)</f>
        <v/>
      </c>
      <c r="I22" s="20" t="str">
        <f>IF(OR(B22="",C22="",D22="",H21=""),"",'Storage calculator'!U45)</f>
        <v/>
      </c>
      <c r="J22" s="20" t="str">
        <f>IF(OR(B22="",C22="",D22="",H21=""),"",'Storage calculator'!V45)</f>
        <v/>
      </c>
      <c r="K22" s="21" t="str">
        <f>IF(OR(B22="",C22="",D22="",H21=""),"",'Storage calculator'!W45)</f>
        <v/>
      </c>
      <c r="L22"/>
      <c r="M22"/>
      <c r="N22"/>
      <c r="O22"/>
      <c r="P22"/>
      <c r="Q22"/>
      <c r="R22"/>
      <c r="S22"/>
    </row>
    <row r="23" spans="1:19" ht="24.95" customHeight="1" thickBot="1" x14ac:dyDescent="0.3">
      <c r="A23" s="129">
        <v>20</v>
      </c>
      <c r="B23" s="10"/>
      <c r="C23" s="123"/>
      <c r="D23" s="123"/>
      <c r="E23" s="119" t="str">
        <f t="shared" si="0"/>
        <v/>
      </c>
      <c r="F23" s="122" t="str">
        <f>'Storage calculator'!O47</f>
        <v/>
      </c>
      <c r="G23" s="136" t="str">
        <f t="shared" si="1"/>
        <v/>
      </c>
      <c r="H23" s="117" t="str">
        <f>IF(OR(B23="",C23="",D23="",H22=""),"",'Storage calculator'!T47)</f>
        <v/>
      </c>
      <c r="I23" s="22" t="str">
        <f>IF(OR(B23="",C23="",D23="",H22=""),"",'Storage calculator'!U47)</f>
        <v/>
      </c>
      <c r="J23" s="22" t="str">
        <f>IF(OR(B23="",C23="",D23="",H22=""),"",'Storage calculator'!V47)</f>
        <v/>
      </c>
      <c r="K23" s="23" t="str">
        <f>IF(OR(B23="",C23="",D23="",H22=""),"",'Storage calculator'!W47)</f>
        <v/>
      </c>
      <c r="L23"/>
      <c r="M23"/>
      <c r="N23"/>
      <c r="O23"/>
      <c r="P23"/>
      <c r="Q23"/>
      <c r="R23"/>
      <c r="S23"/>
    </row>
    <row r="24" spans="1:19" ht="24.95" customHeight="1" x14ac:dyDescent="0.25">
      <c r="A24" s="13" t="s">
        <v>103</v>
      </c>
      <c r="B24"/>
      <c r="C24"/>
      <c r="D24"/>
      <c r="E24"/>
      <c r="F24"/>
      <c r="G24"/>
      <c r="H24"/>
      <c r="I24"/>
      <c r="J24"/>
      <c r="K24"/>
      <c r="L24"/>
      <c r="M24"/>
      <c r="N24"/>
      <c r="O24"/>
      <c r="P24"/>
      <c r="Q24"/>
      <c r="R24"/>
      <c r="S24"/>
    </row>
    <row r="25" spans="1:19" x14ac:dyDescent="0.25">
      <c r="A25" s="13" t="s">
        <v>102</v>
      </c>
      <c r="B25"/>
      <c r="C25"/>
      <c r="D25"/>
      <c r="E25"/>
      <c r="F25"/>
      <c r="G25"/>
      <c r="H25"/>
      <c r="I25"/>
      <c r="J25"/>
      <c r="K25"/>
    </row>
    <row r="26" spans="1:19" ht="23.25" customHeight="1" x14ac:dyDescent="0.3">
      <c r="A26" s="132" t="s">
        <v>110</v>
      </c>
      <c r="B26" s="131" t="s">
        <v>109</v>
      </c>
    </row>
    <row r="27" spans="1:19" ht="33" customHeight="1" x14ac:dyDescent="0.3">
      <c r="A27" s="130" t="s">
        <v>104</v>
      </c>
      <c r="B27" s="133"/>
    </row>
    <row r="28" spans="1:19" ht="33" customHeight="1" x14ac:dyDescent="0.3">
      <c r="A28" s="130" t="s">
        <v>105</v>
      </c>
      <c r="B28" s="133"/>
    </row>
    <row r="29" spans="1:19" ht="33" customHeight="1" x14ac:dyDescent="0.3">
      <c r="A29" s="130" t="s">
        <v>106</v>
      </c>
      <c r="B29" s="133"/>
    </row>
    <row r="30" spans="1:19" ht="33" customHeight="1" x14ac:dyDescent="0.3">
      <c r="A30" s="130" t="s">
        <v>107</v>
      </c>
      <c r="B30" s="133"/>
    </row>
    <row r="31" spans="1:19" ht="33" customHeight="1" x14ac:dyDescent="0.3">
      <c r="A31" s="130" t="s">
        <v>0</v>
      </c>
      <c r="B31" s="133"/>
    </row>
    <row r="32" spans="1:19" ht="33" customHeight="1" x14ac:dyDescent="0.3">
      <c r="A32" s="130" t="s">
        <v>108</v>
      </c>
      <c r="B32" s="133"/>
    </row>
  </sheetData>
  <sheetProtection algorithmName="SHA-512" hashValue="xotGdt1j1wmT5I28Ys5SXNO5eXdq7bOpxDbquZSvR4tjAtWY3V6+1GFJQXVCoLTM/n2mvF1UdfwhzUBbinDMLg==" saltValue="A5qA/bx+GSp5HCRXKWHqPw==" spinCount="100000" sheet="1" objects="1" scenarios="1"/>
  <phoneticPr fontId="1" type="noConversion"/>
  <conditionalFormatting sqref="G4:G23">
    <cfRule type="cellIs" dxfId="1" priority="8" stopIfTrue="1" operator="equal">
      <formula>0</formula>
    </cfRule>
  </conditionalFormatting>
  <conditionalFormatting sqref="H4:K23">
    <cfRule type="cellIs" dxfId="0" priority="1" operator="lessThanOrEqual">
      <formula>0</formula>
    </cfRule>
  </conditionalFormatting>
  <dataValidations xWindow="679" yWindow="438" count="3">
    <dataValidation type="date" allowBlank="1" showInputMessage="1" showErrorMessage="1" errorTitle="Enter Date" error="Enter Date between 01/01/2020-01/01/2100" prompt="Enter date" sqref="B4:B23" xr:uid="{FA976074-2866-491A-8604-7E41B174FFCC}">
      <formula1>43831</formula1>
      <formula2>73051</formula2>
    </dataValidation>
    <dataValidation type="decimal" allowBlank="1" showInputMessage="1" showErrorMessage="1" error="Moisture content must be between 5% and 35%" prompt="Enter moisture content as %" sqref="D4:D23" xr:uid="{DDD07450-D9E1-455E-A762-6E6DC082CC26}">
      <formula1>5</formula1>
      <formula2>35</formula2>
    </dataValidation>
    <dataValidation allowBlank="1" showInputMessage="1" showErrorMessage="1" prompt="Entre temperature in Degree Celsius " sqref="C4:C23" xr:uid="{C5EE0DFE-4556-435D-AC18-5F18372DC699}"/>
  </dataValidations>
  <pageMargins left="0.75" right="0.75" top="1" bottom="1" header="0.5" footer="0.5"/>
  <pageSetup scale="34" orientation="portrait" r:id="rId1"/>
  <headerFooter alignWithMargins="0"/>
  <ignoredErrors>
    <ignoredError sqref="E4" calculatedColumn="1"/>
  </ignoredError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A21AD-C3A2-442E-8368-7831E3336A7A}">
  <sheetPr codeName="Sheet3">
    <pageSetUpPr fitToPage="1"/>
  </sheetPr>
  <dimension ref="A1"/>
  <sheetViews>
    <sheetView zoomScale="75" workbookViewId="0">
      <selection activeCell="O7" sqref="O7:P7"/>
    </sheetView>
  </sheetViews>
  <sheetFormatPr defaultColWidth="9.140625" defaultRowHeight="12.75" x14ac:dyDescent="0.2"/>
  <cols>
    <col min="1" max="16384" width="9.140625" style="1"/>
  </cols>
  <sheetData/>
  <phoneticPr fontId="1" type="noConversion"/>
  <pageMargins left="0.75" right="0.75" top="1" bottom="1" header="0.5" footer="0.5"/>
  <pageSetup paperSize="9" scale="6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4712-A3A6-45B3-984B-85F4AE5C53B6}">
  <sheetPr codeName="Sheet4"/>
  <dimension ref="A6:BU209"/>
  <sheetViews>
    <sheetView workbookViewId="0">
      <selection activeCell="O7" sqref="O7:P7"/>
    </sheetView>
  </sheetViews>
  <sheetFormatPr defaultColWidth="9.140625" defaultRowHeight="12" x14ac:dyDescent="0.2"/>
  <cols>
    <col min="1" max="1" width="9.85546875" style="26" bestFit="1" customWidth="1"/>
    <col min="2" max="7" width="9.7109375" style="26" customWidth="1"/>
    <col min="8" max="8" width="10.85546875" style="26" customWidth="1"/>
    <col min="9" max="9" width="11.42578125" style="26" customWidth="1"/>
    <col min="10" max="10" width="10.7109375" style="26" bestFit="1" customWidth="1"/>
    <col min="11" max="13" width="9.85546875" style="26" bestFit="1" customWidth="1"/>
    <col min="14" max="15" width="19.140625" style="26" bestFit="1" customWidth="1"/>
    <col min="16" max="21" width="9.85546875" style="26" bestFit="1" customWidth="1"/>
    <col min="22" max="22" width="11.5703125" style="26" bestFit="1" customWidth="1"/>
    <col min="23" max="23" width="9.85546875" style="26" bestFit="1" customWidth="1"/>
    <col min="24" max="24" width="18.42578125" style="26" bestFit="1" customWidth="1"/>
    <col min="25" max="28" width="9.85546875" style="26" bestFit="1" customWidth="1"/>
    <col min="29" max="29" width="4.7109375" style="26" bestFit="1" customWidth="1"/>
    <col min="30" max="30" width="3.5703125" style="26" bestFit="1" customWidth="1"/>
    <col min="31" max="31" width="4.7109375" style="26" bestFit="1" customWidth="1"/>
    <col min="32" max="35" width="9.140625" style="26"/>
    <col min="36" max="43" width="5.140625" style="26" bestFit="1" customWidth="1"/>
    <col min="44" max="47" width="3.7109375" style="26" bestFit="1" customWidth="1"/>
    <col min="48" max="48" width="4" style="26" bestFit="1" customWidth="1"/>
    <col min="49" max="49" width="4.7109375" style="26" bestFit="1" customWidth="1"/>
    <col min="50" max="62" width="3.7109375" style="26" bestFit="1" customWidth="1"/>
    <col min="63" max="64" width="3.140625" style="26" bestFit="1" customWidth="1"/>
    <col min="65" max="16384" width="9.140625" style="26"/>
  </cols>
  <sheetData>
    <row r="6" spans="1:24" ht="24" x14ac:dyDescent="0.2">
      <c r="A6" s="24"/>
      <c r="B6" s="25" t="s">
        <v>7</v>
      </c>
      <c r="C6" s="25"/>
      <c r="D6" s="25"/>
      <c r="E6" s="25"/>
      <c r="F6" s="25"/>
      <c r="G6" s="25"/>
      <c r="H6" s="24"/>
      <c r="I6" s="24"/>
      <c r="J6" s="24"/>
      <c r="K6" s="24"/>
      <c r="L6" s="24"/>
      <c r="M6" s="24"/>
      <c r="N6" s="24"/>
      <c r="O6" s="24"/>
      <c r="P6" s="24"/>
      <c r="Q6" s="24"/>
      <c r="R6" s="24"/>
      <c r="S6" s="24"/>
      <c r="T6" s="24"/>
      <c r="U6" s="24"/>
      <c r="V6" s="24"/>
      <c r="W6" s="24"/>
      <c r="X6" s="24"/>
    </row>
    <row r="7" spans="1:24" x14ac:dyDescent="0.2">
      <c r="A7" s="24"/>
      <c r="B7" s="27" t="s">
        <v>8</v>
      </c>
      <c r="C7" s="27"/>
      <c r="D7" s="27"/>
      <c r="E7" s="27"/>
      <c r="F7" s="27"/>
      <c r="G7" s="27"/>
      <c r="H7" s="24"/>
      <c r="I7" s="24"/>
      <c r="J7" s="24"/>
      <c r="K7" s="24"/>
      <c r="L7" s="24"/>
      <c r="M7" s="24"/>
      <c r="N7" s="24"/>
      <c r="O7" s="24"/>
      <c r="P7" s="24"/>
      <c r="Q7" s="24"/>
      <c r="R7" s="24"/>
      <c r="S7" s="24"/>
      <c r="T7" s="24"/>
      <c r="U7" s="24"/>
      <c r="V7" s="24"/>
      <c r="W7" s="24"/>
      <c r="X7" s="24"/>
    </row>
    <row r="8" spans="1:24" x14ac:dyDescent="0.2">
      <c r="A8" s="24"/>
      <c r="B8" s="24"/>
      <c r="C8" s="24"/>
      <c r="D8" s="24"/>
      <c r="E8" s="24"/>
      <c r="F8" s="24"/>
      <c r="G8" s="24"/>
      <c r="H8" s="24"/>
      <c r="I8" s="24"/>
      <c r="J8" s="24"/>
      <c r="K8" s="24"/>
      <c r="L8" s="24"/>
      <c r="M8" s="24"/>
      <c r="N8" s="24"/>
      <c r="O8" s="24"/>
      <c r="P8" s="24"/>
      <c r="Q8" s="24"/>
      <c r="R8" s="24"/>
      <c r="S8" s="24"/>
      <c r="T8" s="24"/>
      <c r="U8" s="24"/>
      <c r="V8" s="24"/>
      <c r="W8" s="24"/>
      <c r="X8" s="28"/>
    </row>
    <row r="9" spans="1:24" ht="13.5" thickBot="1" x14ac:dyDescent="0.25">
      <c r="A9" s="24" t="s">
        <v>0</v>
      </c>
      <c r="B9" s="24"/>
      <c r="C9" t="s">
        <v>9</v>
      </c>
      <c r="D9" t="s">
        <v>10</v>
      </c>
      <c r="E9"/>
      <c r="F9"/>
      <c r="G9" t="s">
        <v>11</v>
      </c>
      <c r="H9" s="29"/>
      <c r="I9" s="24"/>
      <c r="J9" s="29" t="s">
        <v>1</v>
      </c>
      <c r="K9" s="29" t="s">
        <v>12</v>
      </c>
      <c r="L9" s="29" t="s">
        <v>3</v>
      </c>
      <c r="M9" s="29" t="s">
        <v>4</v>
      </c>
      <c r="N9" s="30"/>
      <c r="O9" s="30"/>
      <c r="P9" s="31" t="s">
        <v>1</v>
      </c>
      <c r="Q9" s="31" t="s">
        <v>12</v>
      </c>
      <c r="R9" s="31" t="s">
        <v>3</v>
      </c>
      <c r="S9" s="32" t="s">
        <v>4</v>
      </c>
      <c r="T9" s="31" t="s">
        <v>1</v>
      </c>
      <c r="U9" s="32" t="s">
        <v>12</v>
      </c>
      <c r="V9" s="31" t="s">
        <v>3</v>
      </c>
      <c r="W9" s="32" t="s">
        <v>4</v>
      </c>
      <c r="X9" s="31"/>
    </row>
    <row r="10" spans="1:24" ht="12.75" x14ac:dyDescent="0.2">
      <c r="A10" s="33">
        <f>'Data Entry'!B4</f>
        <v>0</v>
      </c>
      <c r="B10" s="34">
        <f>'Data Entry'!C4</f>
        <v>0</v>
      </c>
      <c r="C10">
        <f>133.937+62.1561*B10</f>
        <v>133.93700000000001</v>
      </c>
      <c r="D10">
        <f>EXP(-1.59584+0.000805954*B10)</f>
        <v>0.20273815690469088</v>
      </c>
      <c r="E10" t="e">
        <f>-C10/(8.3143*B10)</f>
        <v>#DIV/0!</v>
      </c>
      <c r="F10">
        <f>EXP(-D10*B11)</f>
        <v>1</v>
      </c>
      <c r="G10" t="e">
        <f>100*EXP(E10*F10)</f>
        <v>#DIV/0!</v>
      </c>
      <c r="H10" s="35" t="s">
        <v>13</v>
      </c>
      <c r="I10" s="36" t="s">
        <v>14</v>
      </c>
      <c r="J10" s="37">
        <f>IF($B$10&lt;5,5,IF($B$10&gt;25,26,$B$10))</f>
        <v>5</v>
      </c>
      <c r="K10" s="37">
        <f>IF($B$10&lt;0,0,IF($B$10&gt;24,25,$B$10))</f>
        <v>0</v>
      </c>
      <c r="L10" s="37">
        <f>IF($B$10&lt;15,15,IF($B$10&gt;35,38,$B$10))</f>
        <v>15</v>
      </c>
      <c r="M10" s="37">
        <f>IF($B$10&lt;9,9,IF($B$10&gt;34,34,$B$10))</f>
        <v>9</v>
      </c>
      <c r="N10" s="38" t="s">
        <v>15</v>
      </c>
      <c r="O10" s="39">
        <f>A10</f>
        <v>0</v>
      </c>
      <c r="P10" s="40" t="e">
        <f>IF(ROUND((EXP(19.48438-0.85016*G10/LN(G10)-0.000094*B10^3)),0)&gt;100,100,ROUND((EXP(19.48438-0.85016*G10/LN(G10)-0.000094*B10^3)),0))</f>
        <v>#DIV/0!</v>
      </c>
      <c r="Q10" s="41">
        <f>HLOOKUP(K10,GermMatrix,K11)</f>
        <v>100</v>
      </c>
      <c r="R10" s="41">
        <f>HLOOKUP(L10,InsectMatrix,L11)</f>
        <v>100</v>
      </c>
      <c r="S10" s="41">
        <f>HLOOKUP(M10,MiteMatrix,M11)</f>
        <v>100</v>
      </c>
      <c r="T10" s="42" t="str">
        <f>IF($O11="","",($O11/P10))</f>
        <v/>
      </c>
      <c r="U10" s="42" t="str">
        <f>IF($O11="","",($O11/Q10))</f>
        <v/>
      </c>
      <c r="V10" s="42" t="str">
        <f>IF($O11="","",($O11/R10))</f>
        <v/>
      </c>
      <c r="W10" s="42" t="str">
        <f>IF($O11="","",($O11/S10))</f>
        <v/>
      </c>
      <c r="X10" s="38" t="s">
        <v>16</v>
      </c>
    </row>
    <row r="11" spans="1:24" x14ac:dyDescent="0.2">
      <c r="A11" s="24"/>
      <c r="B11" s="43">
        <f>'Data Entry'!D4</f>
        <v>0</v>
      </c>
      <c r="C11" s="43"/>
      <c r="D11" s="43"/>
      <c r="E11" s="43"/>
      <c r="F11" s="43"/>
      <c r="G11" s="43"/>
      <c r="H11" s="35"/>
      <c r="I11" s="36" t="s">
        <v>17</v>
      </c>
      <c r="J11" s="44">
        <f>VLOOKUP(IF($B$11&lt;16,16,ROUNDUP($B$11,0)),T118:U127,2)</f>
        <v>2</v>
      </c>
      <c r="K11" s="44">
        <f>VLOOKUP(IF($B$11&lt;13,13,ROUNDUP($B$11,0)),V118:W130,2)</f>
        <v>2</v>
      </c>
      <c r="L11" s="44">
        <f>VLOOKUP(IF($B$11&lt;11,11,$B$11),X118:Y168,2)</f>
        <v>2</v>
      </c>
      <c r="M11" s="44">
        <f>VLOOKUP(IF($B$11&lt;13.9,13.9,$B$11),Z118:AA209,2)</f>
        <v>2</v>
      </c>
      <c r="N11" s="38" t="s">
        <v>18</v>
      </c>
      <c r="O11" s="45" t="str">
        <f>IF(O12-O10&lt;1,"",O12-O10)</f>
        <v/>
      </c>
      <c r="P11" s="46"/>
      <c r="Q11" s="46"/>
      <c r="R11" s="46"/>
      <c r="S11" s="46"/>
      <c r="T11" s="47" t="str">
        <f>IF(T10="","",IF(P10&lt;100,IF(T10&lt;1%,(1-T10)*T10,(1-T10)*P12),P12))</f>
        <v/>
      </c>
      <c r="U11" s="47" t="str">
        <f>IF(U10="","",IF(Q10&lt;100,IF(U10&lt;1%,(1-U10)*U10,(1-U10)*Q12),Q12))</f>
        <v/>
      </c>
      <c r="V11" s="47" t="str">
        <f>IF(V10="","",IF(R10&lt;100,IF(V10&lt;1%,(1-V10)*V10,(1-V10)*R12),R12))</f>
        <v/>
      </c>
      <c r="W11" s="47" t="str">
        <f>IF(W10="","",IF(S10&lt;100,IF(W10&lt;1%,(1-W10)*W10,(1-W10)*S12),S12))</f>
        <v/>
      </c>
      <c r="X11" s="48" t="s">
        <v>19</v>
      </c>
    </row>
    <row r="12" spans="1:24" ht="12.75" x14ac:dyDescent="0.2">
      <c r="A12" s="33">
        <f>'Data Entry'!B5</f>
        <v>0</v>
      </c>
      <c r="B12" s="34">
        <f>'Data Entry'!C5</f>
        <v>0</v>
      </c>
      <c r="C12">
        <f>133.937+62.1561*B12</f>
        <v>133.93700000000001</v>
      </c>
      <c r="D12">
        <f>EXP(-1.59584+0.000805954*B12)</f>
        <v>0.20273815690469088</v>
      </c>
      <c r="E12" t="e">
        <f>-C12/(8.3143*B12)</f>
        <v>#DIV/0!</v>
      </c>
      <c r="F12">
        <f>EXP(-D12*B13)</f>
        <v>1</v>
      </c>
      <c r="G12" t="e">
        <f>100*EXP(E12*F12)</f>
        <v>#DIV/0!</v>
      </c>
      <c r="H12" s="49" t="s">
        <v>20</v>
      </c>
      <c r="I12" s="50" t="s">
        <v>14</v>
      </c>
      <c r="J12" s="34">
        <f>IF($B$12&lt;5,5,IF($B$12&gt;25,26,$B$12))</f>
        <v>5</v>
      </c>
      <c r="K12" s="34">
        <f>IF($B$12&lt;0,0,IF($B$12&gt;24,25,$B$12))</f>
        <v>0</v>
      </c>
      <c r="L12" s="34">
        <f>IF($B$12&lt;15,15,IF($B$12&gt;35,38,$B$12))</f>
        <v>15</v>
      </c>
      <c r="M12" s="34">
        <f>IF($B$12&lt;9,9,IF($B$12&gt;34,34,$B$12))</f>
        <v>9</v>
      </c>
      <c r="N12" s="38" t="s">
        <v>21</v>
      </c>
      <c r="O12" s="51">
        <f>A12</f>
        <v>0</v>
      </c>
      <c r="P12" s="40" t="e">
        <f>IF(ROUND((EXP(19.48438-0.85016*G12/LN(G12)-0.000094*B12^3)),0)&gt;100,100,ROUND((EXP(19.48438-0.85016*G12/LN(G12)-0.000094*B12^3)),0))</f>
        <v>#DIV/0!</v>
      </c>
      <c r="Q12" s="46">
        <f>HLOOKUP(K12,GermMatrix,K13)</f>
        <v>100</v>
      </c>
      <c r="R12" s="46">
        <f>HLOOKUP(L12,InsectMatrix,L13)</f>
        <v>100</v>
      </c>
      <c r="S12" s="46">
        <f>HLOOKUP(M12,MiteMatrix,M13)</f>
        <v>100</v>
      </c>
      <c r="T12" s="52" t="str">
        <f>IF($O13="","",IF(P12&lt;100,IF(T11&gt;0,IF($O13/T11&gt;=1,1,$O13/T11),1),0))</f>
        <v/>
      </c>
      <c r="U12" s="52" t="str">
        <f>IF($O13="","",IF(Q12&lt;100,IF(U11&gt;0,IF($O13/U11&gt;=1,1,$O13/U11),1),0))</f>
        <v/>
      </c>
      <c r="V12" s="52" t="str">
        <f>IF($O13="","",IF(R12&lt;100,IF(V11&gt;0,IF($O13/V11&gt;=1,1,$O13/V11),1),0))</f>
        <v/>
      </c>
      <c r="W12" s="52" t="str">
        <f>IF($O13="","",IF(S12&lt;100,IF(W11&gt;0,IF($O13/W11&gt;=1,1,$O13/W11),1),0))</f>
        <v/>
      </c>
      <c r="X12" s="38" t="s">
        <v>16</v>
      </c>
    </row>
    <row r="13" spans="1:24" x14ac:dyDescent="0.2">
      <c r="A13" s="33"/>
      <c r="B13" s="43">
        <f>'Data Entry'!D5</f>
        <v>0</v>
      </c>
      <c r="C13" s="43"/>
      <c r="D13" s="43"/>
      <c r="E13" s="43"/>
      <c r="F13" s="43"/>
      <c r="G13" s="43"/>
      <c r="H13" s="53"/>
      <c r="I13" s="50" t="s">
        <v>17</v>
      </c>
      <c r="J13" s="54">
        <f>VLOOKUP(IF($B$13&lt;16,16,ROUNDUP($B$13,0)),T118:U127,2)</f>
        <v>2</v>
      </c>
      <c r="K13" s="54">
        <f>VLOOKUP(IF($B$13&lt;13,13,ROUNDUP($B$13,0)),V118:W130,2)</f>
        <v>2</v>
      </c>
      <c r="L13" s="54">
        <f>VLOOKUP(IF($B$13&lt;11,11,$B$13),X118:Y168,2)</f>
        <v>2</v>
      </c>
      <c r="M13" s="54">
        <f>VLOOKUP(IF($B$13&lt;13.9,13.9,$B$13),Z118:AA209,2)</f>
        <v>2</v>
      </c>
      <c r="N13" s="38" t="s">
        <v>22</v>
      </c>
      <c r="O13" s="45" t="str">
        <f>IF(O14-O12&lt;1,"",O14-O12)</f>
        <v/>
      </c>
      <c r="P13" s="46"/>
      <c r="Q13" s="46"/>
      <c r="R13" s="46"/>
      <c r="S13" s="46"/>
      <c r="T13" s="47" t="str">
        <f>IF(T12="","",IF(P12&lt;100,IF(T12&lt;1%,(1-T12)*T12,(1-T12)*P14),P14))</f>
        <v/>
      </c>
      <c r="U13" s="47" t="str">
        <f>IF(U12="","",IF(Q12&lt;100,IF(U12&lt;1%,(1-U12)*U12,(1-U12)*Q14),Q14))</f>
        <v/>
      </c>
      <c r="V13" s="47" t="str">
        <f>IF(V12="","",IF(R12&lt;100,IF(V12&lt;1%,(1-V12)*V12,(1-V12)*R14),R14))</f>
        <v/>
      </c>
      <c r="W13" s="47" t="str">
        <f>IF(W12="","",IF(S12&lt;100,IF(W12&lt;1%,(1-W12)*W12,(1-W12)*S14),S14))</f>
        <v/>
      </c>
      <c r="X13" s="48" t="s">
        <v>19</v>
      </c>
    </row>
    <row r="14" spans="1:24" ht="12.75" x14ac:dyDescent="0.2">
      <c r="A14" s="33">
        <f>'Data Entry'!B6</f>
        <v>0</v>
      </c>
      <c r="B14" s="34">
        <f>'Data Entry'!C6</f>
        <v>0</v>
      </c>
      <c r="C14">
        <f>133.937+62.1561*B14</f>
        <v>133.93700000000001</v>
      </c>
      <c r="D14">
        <f>EXP(-1.59584+0.000805954*B14)</f>
        <v>0.20273815690469088</v>
      </c>
      <c r="E14" t="e">
        <f>-C14/(8.3143*B14)</f>
        <v>#DIV/0!</v>
      </c>
      <c r="F14">
        <f>EXP(-D14*B15)</f>
        <v>1</v>
      </c>
      <c r="G14" t="e">
        <f>100*EXP(E14*F14)</f>
        <v>#DIV/0!</v>
      </c>
      <c r="H14" s="38" t="s">
        <v>23</v>
      </c>
      <c r="I14" s="55" t="s">
        <v>14</v>
      </c>
      <c r="J14" s="56">
        <f>IF($B$14&lt;5,5,IF($B$14&gt;25,26,$B$14))</f>
        <v>5</v>
      </c>
      <c r="K14" s="56">
        <f>IF($B$14&lt;0,0,IF($B$14&gt;24,25,$B$14))</f>
        <v>0</v>
      </c>
      <c r="L14" s="56">
        <f>IF($B$14&lt;15,15,IF($B$14&gt;35,38,$B$14))</f>
        <v>15</v>
      </c>
      <c r="M14" s="56">
        <f>IF($B$14&lt;9,9,IF($B$14&gt;34,34,$B$14))</f>
        <v>9</v>
      </c>
      <c r="N14" s="38" t="s">
        <v>24</v>
      </c>
      <c r="O14" s="51">
        <f>A14</f>
        <v>0</v>
      </c>
      <c r="P14" s="40" t="e">
        <f>IF(ROUND((EXP(19.48438-0.85016*G14/LN(G14)-0.000094*B14^3)),0)&gt;100,100,ROUND((EXP(19.48438-0.85016*G14/LN(G14)-0.000094*B14^3)),0))</f>
        <v>#DIV/0!</v>
      </c>
      <c r="Q14" s="46">
        <f>HLOOKUP(K14,GermMatrix,K15)</f>
        <v>100</v>
      </c>
      <c r="R14" s="46">
        <f>HLOOKUP(L14,InsectMatrix,L15)</f>
        <v>100</v>
      </c>
      <c r="S14" s="46">
        <f>HLOOKUP(M14,MiteMatrix,M15)</f>
        <v>100</v>
      </c>
      <c r="T14" s="52" t="str">
        <f>IF($O15="","",IF(P14&lt;100,IF(T13&gt;0,IF($O15/T13&gt;=1,1,$O15/T13),1),0))</f>
        <v/>
      </c>
      <c r="U14" s="52" t="str">
        <f>IF($O15="","",IF(Q14&lt;100,IF(U13&gt;0,IF($O15/U13&gt;=1,1,$O15/U13),1),0))</f>
        <v/>
      </c>
      <c r="V14" s="52" t="str">
        <f>IF($O15="","",IF(R14&lt;100,IF(V13&gt;0,IF($O15/V13&gt;=1,1,$O15/V13),1),0))</f>
        <v/>
      </c>
      <c r="W14" s="52" t="str">
        <f>IF($O15="","",IF(S14&lt;100,IF(W13&gt;0,IF($O15/W13&gt;=1,1,$O15/W13),1),0))</f>
        <v/>
      </c>
      <c r="X14" s="38" t="s">
        <v>16</v>
      </c>
    </row>
    <row r="15" spans="1:24" x14ac:dyDescent="0.2">
      <c r="A15" s="33"/>
      <c r="B15" s="43">
        <f>'Data Entry'!D6</f>
        <v>0</v>
      </c>
      <c r="C15" s="43"/>
      <c r="D15" s="43"/>
      <c r="E15" s="43"/>
      <c r="F15" s="43"/>
      <c r="G15" s="43"/>
      <c r="H15" s="38"/>
      <c r="I15" s="55" t="s">
        <v>17</v>
      </c>
      <c r="J15" s="57">
        <f>VLOOKUP(IF($B$15&lt;16,16,$B$15),T118:U127,2)</f>
        <v>2</v>
      </c>
      <c r="K15" s="57">
        <f>VLOOKUP(IF($B$15&lt;13,13,$B$15),V118:W130,2)</f>
        <v>2</v>
      </c>
      <c r="L15" s="57">
        <f>VLOOKUP(IF($B$15&lt;11,11,$B$15),X118:Y168,2)</f>
        <v>2</v>
      </c>
      <c r="M15" s="57">
        <f>VLOOKUP(IF($B$15&lt;13.9,13.9,$B$15),Z118:AA209,2)</f>
        <v>2</v>
      </c>
      <c r="N15" s="38" t="s">
        <v>25</v>
      </c>
      <c r="O15" s="45" t="str">
        <f>IF(O16-O14&lt;1,"",O16-O14)</f>
        <v/>
      </c>
      <c r="P15" s="46"/>
      <c r="Q15" s="46"/>
      <c r="R15" s="46"/>
      <c r="S15" s="46"/>
      <c r="T15" s="47" t="str">
        <f>IF(T14="","",IF(P14&lt;100,IF(T14&lt;1%,(1-T14)*T14,(1-T14)*P16),P16))</f>
        <v/>
      </c>
      <c r="U15" s="47" t="str">
        <f>IF(U14="","",IF(Q14&lt;100,IF(U14&lt;1%,(1-U14)*U14,(1-U14)*Q16),Q16))</f>
        <v/>
      </c>
      <c r="V15" s="47" t="str">
        <f>IF(V14="","",IF(R14&lt;100,IF(V14&lt;1%,(1-V14)*V14,(1-V14)*R16),R16))</f>
        <v/>
      </c>
      <c r="W15" s="47" t="str">
        <f>IF(W14="","",IF(S14&lt;100,IF(W14&lt;1%,(1-W14)*W14,(1-W14)*S16),S16))</f>
        <v/>
      </c>
      <c r="X15" s="48" t="s">
        <v>19</v>
      </c>
    </row>
    <row r="16" spans="1:24" ht="12.75" x14ac:dyDescent="0.2">
      <c r="A16" s="33">
        <f>'Data Entry'!$B7</f>
        <v>0</v>
      </c>
      <c r="B16" s="58">
        <f>'Data Entry'!$C7</f>
        <v>0</v>
      </c>
      <c r="C16">
        <f>133.937+62.1561*B16</f>
        <v>133.93700000000001</v>
      </c>
      <c r="D16">
        <f>EXP(-1.59584+0.000805954*B16)</f>
        <v>0.20273815690469088</v>
      </c>
      <c r="E16" t="e">
        <f>-C16/(8.3143*B16)</f>
        <v>#DIV/0!</v>
      </c>
      <c r="F16">
        <f>EXP(-D16*B17)</f>
        <v>1</v>
      </c>
      <c r="G16" t="e">
        <f>100*EXP(E16*F16)</f>
        <v>#DIV/0!</v>
      </c>
      <c r="H16" s="59" t="s">
        <v>26</v>
      </c>
      <c r="I16" s="60" t="s">
        <v>14</v>
      </c>
      <c r="J16" s="61">
        <f>IF($B$16&lt;5,5,IF($B$16&gt;25,26,$B$16))</f>
        <v>5</v>
      </c>
      <c r="K16" s="61">
        <f>IF($B$16&lt;0,0,IF($B$16&gt;24,25,$B$16))</f>
        <v>0</v>
      </c>
      <c r="L16" s="61">
        <f>IF($B$16&lt;15,15,IF($B$16&gt;35,38,$B$16))</f>
        <v>15</v>
      </c>
      <c r="M16" s="61">
        <f>IF($B$16&lt;9,9,IF($B$16&gt;34,34,$B$16))</f>
        <v>9</v>
      </c>
      <c r="N16" s="38" t="s">
        <v>27</v>
      </c>
      <c r="O16" s="51">
        <f>A16</f>
        <v>0</v>
      </c>
      <c r="P16" s="40" t="e">
        <f>IF(ROUND((EXP(19.48438-0.85016*G16/LN(G16)-0.000094*B16^3)),0)&gt;100,100,ROUND((EXP(19.48438-0.85016*G16/LN(G16)-0.000094*B16^3)),0))</f>
        <v>#DIV/0!</v>
      </c>
      <c r="Q16" s="46">
        <f>HLOOKUP(K16,GermMatrix,K17)</f>
        <v>100</v>
      </c>
      <c r="R16" s="46">
        <f>HLOOKUP(L16,InsectMatrix,L17)</f>
        <v>100</v>
      </c>
      <c r="S16" s="46">
        <f>HLOOKUP(M16,MiteMatrix,M17)</f>
        <v>100</v>
      </c>
      <c r="T16" s="52" t="str">
        <f>IF($O17="","",IF(P16&lt;100,IF(T15&gt;0,IF($O17/T15&gt;=1,1,$O17/T15),1),0))</f>
        <v/>
      </c>
      <c r="U16" s="52" t="str">
        <f>IF($O17="","",IF(Q16&lt;100,IF(U15&gt;0,IF($O17/U15&gt;=1,1,$O17/U15),1),0))</f>
        <v/>
      </c>
      <c r="V16" s="52" t="str">
        <f>IF($O17="","",IF(R16&lt;100,IF(V15&gt;0,IF($O17/V15&gt;=1,1,$O17/V15),1),0))</f>
        <v/>
      </c>
      <c r="W16" s="52" t="str">
        <f>IF($O17="","",IF(S16&lt;100,IF(W15&gt;0,IF($O17/W15&gt;=1,1,$O17/W15),1),0))</f>
        <v/>
      </c>
      <c r="X16" s="38" t="s">
        <v>16</v>
      </c>
    </row>
    <row r="17" spans="1:24" x14ac:dyDescent="0.2">
      <c r="A17" s="33"/>
      <c r="B17" s="62">
        <f>'Data Entry'!$D7</f>
        <v>0</v>
      </c>
      <c r="C17" s="43"/>
      <c r="D17" s="43"/>
      <c r="E17" s="43"/>
      <c r="F17" s="43"/>
      <c r="G17" s="43"/>
      <c r="H17" s="59"/>
      <c r="I17" s="60" t="s">
        <v>17</v>
      </c>
      <c r="J17" s="63">
        <f>VLOOKUP(IF($B$17&lt;16,16,ROUNDUP($B$17,0)),T118:U127,2)</f>
        <v>2</v>
      </c>
      <c r="K17" s="63">
        <f>VLOOKUP(IF($B$17&lt;13,13,ROUNDUP($B$17,0)),V118:W130,2)</f>
        <v>2</v>
      </c>
      <c r="L17" s="63">
        <f>VLOOKUP(IF($B$17&lt;11,11,$B$17),X118:Y168,2)</f>
        <v>2</v>
      </c>
      <c r="M17" s="63">
        <f>VLOOKUP(IF($B$17&lt;13.9,13.9,$B$17),Z118:AA209,2)</f>
        <v>2</v>
      </c>
      <c r="N17" s="38" t="s">
        <v>28</v>
      </c>
      <c r="O17" s="45" t="str">
        <f>IF(O18-O16&lt;1,"",O18-O16)</f>
        <v/>
      </c>
      <c r="P17" s="46"/>
      <c r="Q17" s="46"/>
      <c r="R17" s="46"/>
      <c r="S17" s="46"/>
      <c r="T17" s="47" t="str">
        <f>IF(T16="","",IF(P16&lt;100,IF(T16&lt;1%,(1-T16)*T16,(1-T16)*P18),P18))</f>
        <v/>
      </c>
      <c r="U17" s="47" t="str">
        <f>IF(U16="","",IF(Q16&lt;100,IF(U16&lt;1%,(1-U16)*U16,(1-U16)*Q18),Q18))</f>
        <v/>
      </c>
      <c r="V17" s="47" t="str">
        <f>IF(V16="","",IF(R16&lt;100,IF(V16&lt;1%,(1-V16)*V16,(1-V16)*R18),R18))</f>
        <v/>
      </c>
      <c r="W17" s="47" t="str">
        <f>IF(W16="","",IF(S16&lt;100,IF(W16&lt;1%,(1-W16)*W16,(1-W16)*S18),S18))</f>
        <v/>
      </c>
      <c r="X17" s="48" t="s">
        <v>19</v>
      </c>
    </row>
    <row r="18" spans="1:24" ht="12.75" x14ac:dyDescent="0.2">
      <c r="A18" s="33">
        <f>'Data Entry'!$B8</f>
        <v>0</v>
      </c>
      <c r="B18" s="58">
        <f>'Data Entry'!$C8</f>
        <v>0</v>
      </c>
      <c r="C18">
        <f>133.937+62.1561*B18</f>
        <v>133.93700000000001</v>
      </c>
      <c r="D18">
        <f>EXP(-1.59584+0.000805954*B18)</f>
        <v>0.20273815690469088</v>
      </c>
      <c r="E18" t="e">
        <f>-C18/(8.3143*B18)</f>
        <v>#DIV/0!</v>
      </c>
      <c r="F18">
        <f>EXP(-D18*B19)</f>
        <v>1</v>
      </c>
      <c r="G18" t="e">
        <f>100*EXP(E18*F18)</f>
        <v>#DIV/0!</v>
      </c>
      <c r="H18" s="64" t="s">
        <v>29</v>
      </c>
      <c r="I18" s="65" t="s">
        <v>14</v>
      </c>
      <c r="J18" s="66">
        <f>IF($B18&lt;5,5,IF($B18&gt;25,26,$B18))</f>
        <v>5</v>
      </c>
      <c r="K18" s="66">
        <f>IF($GL$6&lt;0,0,IF($B18&gt;24,25,$B18))</f>
        <v>0</v>
      </c>
      <c r="L18" s="66">
        <f>IF($B18&lt;15,15,IF($B18&gt;35,38,$B18))</f>
        <v>15</v>
      </c>
      <c r="M18" s="66">
        <f>IF($B18&lt;9,9,IF($B18&gt;34,34,$B18))</f>
        <v>9</v>
      </c>
      <c r="N18" s="38" t="s">
        <v>30</v>
      </c>
      <c r="O18" s="51">
        <f>A18</f>
        <v>0</v>
      </c>
      <c r="P18" s="40" t="e">
        <f>IF(ROUND((EXP(19.48438-0.85016*G18/LN(G18)-0.000094*B18^3)),0)&gt;100,100,ROUND((EXP(19.48438-0.85016*G18/LN(G18)-0.000094*B18^3)),0))</f>
        <v>#DIV/0!</v>
      </c>
      <c r="Q18" s="46">
        <f>HLOOKUP(K18,GermMatrix,K19)</f>
        <v>100</v>
      </c>
      <c r="R18" s="46">
        <f>HLOOKUP(L18,InsectMatrix,L19)</f>
        <v>100</v>
      </c>
      <c r="S18" s="46">
        <f>HLOOKUP(M18,MiteMatrix,M19)</f>
        <v>100</v>
      </c>
      <c r="T18" s="52" t="str">
        <f>IF($O19="","",IF(P18&lt;100,IF(T17&gt;0,IF($O19/T17&gt;=1,1,$O19/T17),1),0))</f>
        <v/>
      </c>
      <c r="U18" s="52" t="str">
        <f>IF($O19="","",IF(Q18&lt;100,IF(U17&gt;0,IF($O19/U17&gt;=1,1,$O19/U17),1),0))</f>
        <v/>
      </c>
      <c r="V18" s="52" t="str">
        <f>IF($O19="","",IF(R18&lt;100,IF(V17&gt;0,IF($O19/V17&gt;=1,1,$O19/V17),1),0))</f>
        <v/>
      </c>
      <c r="W18" s="52" t="str">
        <f>IF($O19="","",IF(S18&lt;100,IF(W17&gt;0,IF($O19/W17&gt;=1,1,$O19/W17),1),0))</f>
        <v/>
      </c>
      <c r="X18" s="38" t="s">
        <v>16</v>
      </c>
    </row>
    <row r="19" spans="1:24" x14ac:dyDescent="0.2">
      <c r="A19" s="33"/>
      <c r="B19" s="62">
        <f>'Data Entry'!$D8</f>
        <v>0</v>
      </c>
      <c r="C19" s="43"/>
      <c r="D19" s="43"/>
      <c r="E19" s="43"/>
      <c r="F19" s="43"/>
      <c r="G19" s="43"/>
      <c r="H19" s="64"/>
      <c r="I19" s="65" t="s">
        <v>17</v>
      </c>
      <c r="J19" s="67">
        <f>VLOOKUP(IF($B19&lt;16,16,ROUNDUP($B19,0)),$T$118:$U$127,2)</f>
        <v>2</v>
      </c>
      <c r="K19" s="67">
        <f>VLOOKUP(IF($B19&lt;13,13,ROUNDUP($B19,0)),$V$118:$W$130,2)</f>
        <v>2</v>
      </c>
      <c r="L19" s="67">
        <f>VLOOKUP(IF($B19&lt;11,11,$B19),$X$118:$Y$168,2)</f>
        <v>2</v>
      </c>
      <c r="M19" s="67">
        <f>VLOOKUP(IF($B19&lt;13.9,13.9,$B19),$Z$118:$AA$209,2)</f>
        <v>2</v>
      </c>
      <c r="N19" s="38" t="s">
        <v>31</v>
      </c>
      <c r="O19" s="45" t="str">
        <f>IF(O20-O18&lt;1,"",O20-O18)</f>
        <v/>
      </c>
      <c r="P19" s="46"/>
      <c r="Q19" s="46"/>
      <c r="R19" s="46"/>
      <c r="S19" s="46"/>
      <c r="T19" s="47" t="str">
        <f>IF(T18="","",IF(P18&lt;100,IF(T18&lt;1%,(1-T18)*T18,(1-T18)*P20),P20))</f>
        <v/>
      </c>
      <c r="U19" s="47" t="str">
        <f>IF(U18="","",IF(Q18&lt;100,IF(U18&lt;1%,(1-U18)*U18,(1-U18)*Q20),Q20))</f>
        <v/>
      </c>
      <c r="V19" s="47" t="str">
        <f>IF(V18="","",IF(R18&lt;100,IF(V18&lt;1%,(1-V18)*V18,(1-V18)*R20),R20))</f>
        <v/>
      </c>
      <c r="W19" s="47" t="str">
        <f>IF(W18="","",IF(S18&lt;100,IF(W18&lt;1%,(1-W18)*W18,(1-W18)*S20),S20))</f>
        <v/>
      </c>
      <c r="X19" s="48" t="s">
        <v>19</v>
      </c>
    </row>
    <row r="20" spans="1:24" ht="12.75" x14ac:dyDescent="0.2">
      <c r="A20" s="33">
        <f>'Data Entry'!$B$9</f>
        <v>0</v>
      </c>
      <c r="B20" s="68">
        <f>'Data Entry'!$C9</f>
        <v>0</v>
      </c>
      <c r="C20">
        <f>133.937+62.1561*B20</f>
        <v>133.93700000000001</v>
      </c>
      <c r="D20">
        <f>EXP(-1.59584+0.000805954*B20)</f>
        <v>0.20273815690469088</v>
      </c>
      <c r="E20" t="e">
        <f>-C20/(8.3143*B20)</f>
        <v>#DIV/0!</v>
      </c>
      <c r="F20">
        <f>EXP(-D20*B21)</f>
        <v>1</v>
      </c>
      <c r="G20" t="e">
        <f>100*EXP(E20*F20)</f>
        <v>#DIV/0!</v>
      </c>
      <c r="H20" s="35" t="s">
        <v>32</v>
      </c>
      <c r="I20" s="36" t="s">
        <v>14</v>
      </c>
      <c r="J20" s="37">
        <f>IF($B20&lt;5,5,IF($B20&gt;25,26,$B20))</f>
        <v>5</v>
      </c>
      <c r="K20" s="37">
        <f>IF($GL$6&lt;0,0,IF($B20&gt;24,25,$B20))</f>
        <v>0</v>
      </c>
      <c r="L20" s="37">
        <f>IF($B20&lt;15,15,IF($B20&gt;35,38,$B20))</f>
        <v>15</v>
      </c>
      <c r="M20" s="37">
        <f>IF($B20&lt;9,9,IF($B20&gt;34,34,$B20))</f>
        <v>9</v>
      </c>
      <c r="N20" s="38" t="s">
        <v>33</v>
      </c>
      <c r="O20" s="51">
        <f>A20</f>
        <v>0</v>
      </c>
      <c r="P20" s="40" t="e">
        <f>IF(ROUND((EXP(19.48438-0.85016*G20/LN(G20)-0.000094*B20^3)),0)&gt;100,100,ROUND((EXP(19.48438-0.85016*G20/LN(G20)-0.000094*B20^3)),0))</f>
        <v>#DIV/0!</v>
      </c>
      <c r="Q20" s="46">
        <f>HLOOKUP(K20,GermMatrix,K21)</f>
        <v>100</v>
      </c>
      <c r="R20" s="46">
        <f>HLOOKUP(L20,InsectMatrix,L21)</f>
        <v>100</v>
      </c>
      <c r="S20" s="46">
        <f>HLOOKUP(M20,MiteMatrix,M21)</f>
        <v>100</v>
      </c>
      <c r="T20" s="52" t="str">
        <f>IF($O21="","",IF(P20&lt;100,IF(T19&gt;0,IF($O21/T19&gt;=1,1,$O21/T19),1),0))</f>
        <v/>
      </c>
      <c r="U20" s="52" t="str">
        <f>IF($O21="","",IF(Q20&lt;100,IF(U19&gt;0,IF($O21/U19&gt;=1,1,$O21/U19),1),0))</f>
        <v/>
      </c>
      <c r="V20" s="52" t="str">
        <f>IF($O21="","",IF(R20&lt;100,IF(V19&gt;0,IF($O21/V19&gt;=1,1,$O21/V19),1),0))</f>
        <v/>
      </c>
      <c r="W20" s="52" t="str">
        <f>IF($O21="","",IF(S20&lt;100,IF(W19&gt;0,IF($O21/W19&gt;=1,1,$O21/W19),1),0))</f>
        <v/>
      </c>
      <c r="X20" s="38" t="s">
        <v>16</v>
      </c>
    </row>
    <row r="21" spans="1:24" s="70" customFormat="1" x14ac:dyDescent="0.2">
      <c r="A21" s="33"/>
      <c r="B21" s="69">
        <f>'Data Entry'!$D9</f>
        <v>0</v>
      </c>
      <c r="C21" s="43"/>
      <c r="D21" s="43"/>
      <c r="E21" s="43"/>
      <c r="F21" s="43"/>
      <c r="G21" s="43"/>
      <c r="H21" s="35"/>
      <c r="I21" s="36" t="s">
        <v>17</v>
      </c>
      <c r="J21" s="44">
        <f>VLOOKUP(IF($B21&lt;16,16,ROUNDUP($B21,0)),$T$118:$U$127,2)</f>
        <v>2</v>
      </c>
      <c r="K21" s="44">
        <f>VLOOKUP(IF($B21&lt;13,13,ROUNDUP($B21,0)),$V$118:$W$130,2)</f>
        <v>2</v>
      </c>
      <c r="L21" s="44">
        <f>VLOOKUP(IF($B21&lt;11,11,$B21),$X$118:$Y$168,2)</f>
        <v>2</v>
      </c>
      <c r="M21" s="44">
        <f>VLOOKUP(IF($B21&lt;13.9,13.9,$B21),$Z$118:$AA$209,2)</f>
        <v>2</v>
      </c>
      <c r="N21" s="38" t="s">
        <v>34</v>
      </c>
      <c r="O21" s="45" t="str">
        <f>IF(O22-O20&lt;1,"",O22-O20)</f>
        <v/>
      </c>
      <c r="P21" s="46"/>
      <c r="Q21" s="46"/>
      <c r="R21" s="46"/>
      <c r="S21" s="46"/>
      <c r="T21" s="47" t="str">
        <f>IF(T20="","",IF(P20&lt;100,IF(T20&lt;1%,(1-T20)*T20,(1-T20)*P22),P22))</f>
        <v/>
      </c>
      <c r="U21" s="47" t="str">
        <f>IF(U20="","",IF(Q20&lt;100,IF(U20&lt;1%,(1-U20)*U20,(1-U20)*Q22),Q22))</f>
        <v/>
      </c>
      <c r="V21" s="47" t="str">
        <f>IF(V20="","",IF(R20&lt;100,IF(V20&lt;1%,(1-V20)*V20,(1-V20)*R22),R22))</f>
        <v/>
      </c>
      <c r="W21" s="47" t="str">
        <f>IF(W20="","",IF(S20&lt;100,IF(W20&lt;1%,(1-W20)*W20,(1-W20)*S22),S22))</f>
        <v/>
      </c>
      <c r="X21" s="48" t="s">
        <v>19</v>
      </c>
    </row>
    <row r="22" spans="1:24" s="70" customFormat="1" ht="12.75" x14ac:dyDescent="0.2">
      <c r="A22" s="33">
        <f>'Data Entry'!$B$10</f>
        <v>0</v>
      </c>
      <c r="B22" s="68">
        <f>'Data Entry'!$C10</f>
        <v>0</v>
      </c>
      <c r="C22">
        <f>133.937+62.1561*B22</f>
        <v>133.93700000000001</v>
      </c>
      <c r="D22">
        <f>EXP(-1.59584+0.000805954*B22)</f>
        <v>0.20273815690469088</v>
      </c>
      <c r="E22" t="e">
        <f>-C22/(8.3143*B22)</f>
        <v>#DIV/0!</v>
      </c>
      <c r="F22">
        <f>EXP(-D22*B23)</f>
        <v>1</v>
      </c>
      <c r="G22" t="e">
        <f>100*EXP(E22*F22)</f>
        <v>#DIV/0!</v>
      </c>
      <c r="H22" s="49" t="s">
        <v>35</v>
      </c>
      <c r="I22" s="50" t="s">
        <v>14</v>
      </c>
      <c r="J22" s="34">
        <f>IF($B22&lt;5,5,IF($B22&gt;25,26,$B22))</f>
        <v>5</v>
      </c>
      <c r="K22" s="34">
        <f>IF($GL$6&lt;0,0,IF($B22&gt;24,25,$B22))</f>
        <v>0</v>
      </c>
      <c r="L22" s="34">
        <f>IF($B22&lt;15,15,IF($B22&gt;35,38,$B22))</f>
        <v>15</v>
      </c>
      <c r="M22" s="34">
        <f>IF($B22&lt;9,9,IF($B22&gt;34,34,$B22))</f>
        <v>9</v>
      </c>
      <c r="N22" s="38" t="s">
        <v>36</v>
      </c>
      <c r="O22" s="51">
        <f>A22</f>
        <v>0</v>
      </c>
      <c r="P22" s="40" t="e">
        <f>IF(ROUND((EXP(19.48438-0.85016*G22/LN(G22)-0.000094*B22^3)),0)&gt;100,100,ROUND((EXP(19.48438-0.85016*G22/LN(G22)-0.000094*B22^3)),0))</f>
        <v>#DIV/0!</v>
      </c>
      <c r="Q22" s="46">
        <f>HLOOKUP(K22,GermMatrix,K23)</f>
        <v>100</v>
      </c>
      <c r="R22" s="46">
        <f>HLOOKUP(L22,InsectMatrix,L23)</f>
        <v>100</v>
      </c>
      <c r="S22" s="46">
        <f>HLOOKUP(M22,MiteMatrix,M23)</f>
        <v>100</v>
      </c>
      <c r="T22" s="52" t="str">
        <f>IF($O23="","",IF(P22&lt;100,IF(T21&gt;0,IF($O23/T21&gt;=1,1,$O23/T21),1),0))</f>
        <v/>
      </c>
      <c r="U22" s="52" t="str">
        <f>IF($O23="","",IF(Q22&lt;100,IF(U21&gt;0,IF($O23/U21&gt;=1,1,$O23/U21),1),0))</f>
        <v/>
      </c>
      <c r="V22" s="52" t="str">
        <f>IF($O23="","",IF(R22&lt;100,IF(V21&gt;0,IF($O23/V21&gt;=1,1,$O23/V21),1),0))</f>
        <v/>
      </c>
      <c r="W22" s="52" t="str">
        <f>IF($O23="","",IF(S22&lt;100,IF(W21&gt;0,IF($O23/W21&gt;=1,1,$O23/W21),1),0))</f>
        <v/>
      </c>
      <c r="X22" s="38" t="s">
        <v>16</v>
      </c>
    </row>
    <row r="23" spans="1:24" s="70" customFormat="1" x14ac:dyDescent="0.2">
      <c r="A23" s="33"/>
      <c r="B23" s="69">
        <f>'Data Entry'!$D10</f>
        <v>0</v>
      </c>
      <c r="C23" s="43"/>
      <c r="D23" s="43"/>
      <c r="E23" s="43"/>
      <c r="F23" s="43"/>
      <c r="G23" s="43"/>
      <c r="H23" s="53"/>
      <c r="I23" s="50" t="s">
        <v>17</v>
      </c>
      <c r="J23" s="54">
        <f>VLOOKUP(IF($B23&lt;16,16,ROUNDUP($B23,0)),$T$118:$U$127,2)</f>
        <v>2</v>
      </c>
      <c r="K23" s="54">
        <f>VLOOKUP(IF($B23&lt;13,13,ROUNDUP($B23,0)),$V$118:$W$130,2)</f>
        <v>2</v>
      </c>
      <c r="L23" s="54">
        <f>VLOOKUP(IF($B23&lt;11,11,$B23),$X$118:$Y$168,2)</f>
        <v>2</v>
      </c>
      <c r="M23" s="54">
        <f>VLOOKUP(IF($B23&lt;13.9,13.9,$B23),$Z$118:$AA$209,2)</f>
        <v>2</v>
      </c>
      <c r="N23" s="38" t="s">
        <v>37</v>
      </c>
      <c r="O23" s="45" t="str">
        <f>IF(O24-O22&lt;1,"",O24-O22)</f>
        <v/>
      </c>
      <c r="P23" s="46"/>
      <c r="Q23" s="46"/>
      <c r="R23" s="46"/>
      <c r="S23" s="46"/>
      <c r="T23" s="47" t="str">
        <f>IF(T22="","",IF(P22&lt;100,IF(T22&lt;1%,(1-T22)*T22,(1-T22)*P24),P24))</f>
        <v/>
      </c>
      <c r="U23" s="47" t="str">
        <f>IF(U22="","",IF(Q22&lt;100,IF(U22&lt;1%,(1-U22)*U22,(1-U22)*Q24),Q24))</f>
        <v/>
      </c>
      <c r="V23" s="47" t="str">
        <f>IF(V22="","",IF(R22&lt;100,IF(V22&lt;1%,(1-V22)*V22,(1-V22)*R24),R24))</f>
        <v/>
      </c>
      <c r="W23" s="47" t="str">
        <f>IF(W22="","",IF(S22&lt;100,IF(W22&lt;1%,(1-W22)*W22,(1-W22)*S24),S24))</f>
        <v/>
      </c>
      <c r="X23" s="48" t="s">
        <v>19</v>
      </c>
    </row>
    <row r="24" spans="1:24" s="70" customFormat="1" ht="12.75" x14ac:dyDescent="0.2">
      <c r="A24" s="33">
        <f>'Data Entry'!$B$11</f>
        <v>0</v>
      </c>
      <c r="B24" s="68">
        <f>'Data Entry'!$C11</f>
        <v>0</v>
      </c>
      <c r="C24">
        <f>133.937+62.1561*B24</f>
        <v>133.93700000000001</v>
      </c>
      <c r="D24">
        <f>EXP(-1.59584+0.000805954*B24)</f>
        <v>0.20273815690469088</v>
      </c>
      <c r="E24" t="e">
        <f>-C24/(8.3143*B24)</f>
        <v>#DIV/0!</v>
      </c>
      <c r="F24">
        <f>EXP(-D24*B25)</f>
        <v>1</v>
      </c>
      <c r="G24" t="e">
        <f>100*EXP(E24*F24)</f>
        <v>#DIV/0!</v>
      </c>
      <c r="H24" s="38" t="s">
        <v>38</v>
      </c>
      <c r="I24" s="55" t="s">
        <v>14</v>
      </c>
      <c r="J24" s="56">
        <f>IF($B24&lt;5,5,IF($B24&gt;25,26,$B24))</f>
        <v>5</v>
      </c>
      <c r="K24" s="56">
        <f>IF($GL$6&lt;0,0,IF($B24&gt;24,25,$B24))</f>
        <v>0</v>
      </c>
      <c r="L24" s="56">
        <f>IF($B24&lt;15,15,IF($B24&gt;35,38,$B24))</f>
        <v>15</v>
      </c>
      <c r="M24" s="56">
        <f>IF($B24&lt;9,9,IF($B24&gt;34,34,$B24))</f>
        <v>9</v>
      </c>
      <c r="N24" s="38" t="s">
        <v>39</v>
      </c>
      <c r="O24" s="51">
        <f>A24</f>
        <v>0</v>
      </c>
      <c r="P24" s="40" t="e">
        <f>IF(ROUND((EXP(19.48438-0.85016*G24/LN(G24)-0.000094*B24^3)),0)&gt;100,100,ROUND((EXP(19.48438-0.85016*G24/LN(G24)-0.000094*B24^3)),0))</f>
        <v>#DIV/0!</v>
      </c>
      <c r="Q24" s="46">
        <f>HLOOKUP(K24,GermMatrix,K25)</f>
        <v>100</v>
      </c>
      <c r="R24" s="46">
        <f>HLOOKUP(L24,InsectMatrix,L25)</f>
        <v>100</v>
      </c>
      <c r="S24" s="46">
        <f>HLOOKUP(M24,MiteMatrix,M25)</f>
        <v>100</v>
      </c>
      <c r="T24" s="52" t="str">
        <f>IF($O25="","",IF(P24&lt;100,IF(T23&gt;0,IF($O25/T23&gt;=1,1,$O25/T23),1),0))</f>
        <v/>
      </c>
      <c r="U24" s="52" t="str">
        <f>IF($O25="","",IF(Q24&lt;100,IF(U23&gt;0,IF($O25/U23&gt;=1,1,$O25/U23),1),0))</f>
        <v/>
      </c>
      <c r="V24" s="52" t="str">
        <f>IF($O25="","",IF(R24&lt;100,IF(V23&gt;0,IF($O25/V23&gt;=1,1,$O25/V23),1),0))</f>
        <v/>
      </c>
      <c r="W24" s="52" t="str">
        <f>IF($O25="","",IF(S24&lt;100,IF(W23&gt;0,IF($O25/W23&gt;=1,1,$O25/W23),1),0))</f>
        <v/>
      </c>
      <c r="X24" s="38" t="s">
        <v>16</v>
      </c>
    </row>
    <row r="25" spans="1:24" s="70" customFormat="1" x14ac:dyDescent="0.2">
      <c r="A25" s="33"/>
      <c r="B25" s="69">
        <f>'Data Entry'!$D11</f>
        <v>0</v>
      </c>
      <c r="C25" s="43"/>
      <c r="D25" s="43"/>
      <c r="E25" s="43"/>
      <c r="F25" s="43"/>
      <c r="G25" s="43"/>
      <c r="H25" s="38"/>
      <c r="I25" s="55" t="s">
        <v>17</v>
      </c>
      <c r="J25" s="57">
        <f>VLOOKUP(IF($B25&lt;16,16,ROUNDUP($B25,0)),$T$118:$U$127,2)</f>
        <v>2</v>
      </c>
      <c r="K25" s="57">
        <f>VLOOKUP(IF($B25&lt;13,13,ROUNDUP($B25,0)),$V$118:$W$130,2)</f>
        <v>2</v>
      </c>
      <c r="L25" s="57">
        <f>VLOOKUP(IF($B25&lt;11,11,$B25),$X$118:$Y$168,2)</f>
        <v>2</v>
      </c>
      <c r="M25" s="57">
        <f>VLOOKUP(IF($B25&lt;13.9,13.9,$B25),$Z$118:$AA$209,2)</f>
        <v>2</v>
      </c>
      <c r="N25" s="38" t="s">
        <v>40</v>
      </c>
      <c r="O25" s="45" t="str">
        <f>IF(O26-O24&lt;1,"",O26-O24)</f>
        <v/>
      </c>
      <c r="P25" s="46"/>
      <c r="Q25" s="46"/>
      <c r="R25" s="46"/>
      <c r="S25" s="46"/>
      <c r="T25" s="47" t="str">
        <f>IF(T24="","",IF(P24&lt;100,IF(T24&lt;1%,(1-T24)*T24,(1-T24)*P26),P26))</f>
        <v/>
      </c>
      <c r="U25" s="47" t="str">
        <f>IF(U24="","",IF(Q24&lt;100,IF(U24&lt;1%,(1-U24)*U24,(1-U24)*Q26),Q26))</f>
        <v/>
      </c>
      <c r="V25" s="47" t="str">
        <f>IF(V24="","",IF(R24&lt;100,IF(V24&lt;1%,(1-V24)*V24,(1-V24)*R26),R26))</f>
        <v/>
      </c>
      <c r="W25" s="47" t="str">
        <f>IF(W24="","",IF(S24&lt;100,IF(W24&lt;1%,(1-W24)*W24,(1-W24)*S26),S26))</f>
        <v/>
      </c>
      <c r="X25" s="48" t="s">
        <v>19</v>
      </c>
    </row>
    <row r="26" spans="1:24" s="70" customFormat="1" ht="12.75" x14ac:dyDescent="0.2">
      <c r="A26" s="33">
        <f>'Data Entry'!$B$12</f>
        <v>0</v>
      </c>
      <c r="B26" s="68">
        <f>'Data Entry'!$C12</f>
        <v>0</v>
      </c>
      <c r="C26">
        <f>133.937+62.1561*B26</f>
        <v>133.93700000000001</v>
      </c>
      <c r="D26">
        <f>EXP(-1.59584+0.000805954*B26)</f>
        <v>0.20273815690469088</v>
      </c>
      <c r="E26" t="e">
        <f>-C26/(8.3143*B26)</f>
        <v>#DIV/0!</v>
      </c>
      <c r="F26">
        <f>EXP(-D26*B27)</f>
        <v>1</v>
      </c>
      <c r="G26" t="e">
        <f>100*EXP(E26*F26)</f>
        <v>#DIV/0!</v>
      </c>
      <c r="H26" s="59" t="s">
        <v>41</v>
      </c>
      <c r="I26" s="60" t="s">
        <v>14</v>
      </c>
      <c r="J26" s="61">
        <f>IF($B26&lt;5,5,IF($B26&gt;25,26,$B26))</f>
        <v>5</v>
      </c>
      <c r="K26" s="61">
        <f>IF($GL$6&lt;0,0,IF($B26&gt;24,25,$B26))</f>
        <v>0</v>
      </c>
      <c r="L26" s="61">
        <f>IF($B26&lt;15,15,IF($B26&gt;35,38,$B26))</f>
        <v>15</v>
      </c>
      <c r="M26" s="61">
        <f>IF($B26&lt;9,9,IF($B26&gt;34,34,$B26))</f>
        <v>9</v>
      </c>
      <c r="N26" s="38" t="s">
        <v>42</v>
      </c>
      <c r="O26" s="51">
        <f>A26</f>
        <v>0</v>
      </c>
      <c r="P26" s="40" t="e">
        <f>IF(ROUND((EXP(19.48438-0.85016*G26/LN(G26)-0.000094*B26^3)),0)&gt;100,100,ROUND((EXP(19.48438-0.85016*G26/LN(G26)-0.000094*B26^3)),0))</f>
        <v>#DIV/0!</v>
      </c>
      <c r="Q26" s="46">
        <f>HLOOKUP(K26,GermMatrix,K27)</f>
        <v>100</v>
      </c>
      <c r="R26" s="46">
        <f>HLOOKUP(L26,InsectMatrix,L27)</f>
        <v>100</v>
      </c>
      <c r="S26" s="46">
        <f>HLOOKUP(M26,MiteMatrix,M27)</f>
        <v>100</v>
      </c>
      <c r="T26" s="52" t="str">
        <f>IF($O27="","",IF(P26&lt;100,IF(T25&gt;0,IF($O27/T25&gt;=1,1,$O27/T25),1),0))</f>
        <v/>
      </c>
      <c r="U26" s="52" t="str">
        <f>IF($O27="","",IF(Q26&lt;100,IF(U25&gt;0,IF($O27/U25&gt;=1,1,$O27/U25),1),0))</f>
        <v/>
      </c>
      <c r="V26" s="52" t="str">
        <f>IF($O27="","",IF(R26&lt;100,IF(V25&gt;0,IF($O27/V25&gt;=1,1,$O27/V25),1),0))</f>
        <v/>
      </c>
      <c r="W26" s="52" t="str">
        <f>IF($O27="","",IF(S26&lt;100,IF(W25&gt;0,IF($O27/W25&gt;=1,1,$O27/W25),1),0))</f>
        <v/>
      </c>
      <c r="X26" s="38" t="s">
        <v>16</v>
      </c>
    </row>
    <row r="27" spans="1:24" s="70" customFormat="1" x14ac:dyDescent="0.2">
      <c r="A27" s="33"/>
      <c r="B27" s="69">
        <f>'Data Entry'!$D12</f>
        <v>0</v>
      </c>
      <c r="C27" s="43"/>
      <c r="D27" s="43"/>
      <c r="E27" s="43"/>
      <c r="F27" s="43"/>
      <c r="G27" s="43"/>
      <c r="H27" s="59"/>
      <c r="I27" s="60" t="s">
        <v>17</v>
      </c>
      <c r="J27" s="63">
        <f>VLOOKUP(IF($B27&lt;16,16,ROUNDUP($B27,0)),$T$118:$U$127,2)</f>
        <v>2</v>
      </c>
      <c r="K27" s="63">
        <f>VLOOKUP(IF($B27&lt;13,13,ROUNDUP($B27,0)),$V$118:$W$130,2)</f>
        <v>2</v>
      </c>
      <c r="L27" s="63">
        <f>VLOOKUP(IF($B27&lt;11,11,$B27),$X$118:$Y$168,2)</f>
        <v>2</v>
      </c>
      <c r="M27" s="63">
        <f>VLOOKUP(IF($B27&lt;13.9,13.9,$B27),$Z$118:$AA$209,2)</f>
        <v>2</v>
      </c>
      <c r="N27" s="38" t="s">
        <v>43</v>
      </c>
      <c r="O27" s="45" t="str">
        <f>IF(O28-O26&lt;1,"",O28-O26)</f>
        <v/>
      </c>
      <c r="P27" s="46"/>
      <c r="Q27" s="46"/>
      <c r="R27" s="46"/>
      <c r="S27" s="46"/>
      <c r="T27" s="47" t="str">
        <f>IF(T26="","",IF(P26&lt;100,IF(T26&lt;1%,(1-T26)*T26,(1-T26)*P28),P28))</f>
        <v/>
      </c>
      <c r="U27" s="47" t="str">
        <f>IF(U26="","",IF(Q26&lt;100,IF(U26&lt;1%,(1-U26)*U26,(1-U26)*Q28),Q28))</f>
        <v/>
      </c>
      <c r="V27" s="47" t="str">
        <f>IF(V26="","",IF(R26&lt;100,IF(V26&lt;1%,(1-V26)*V26,(1-V26)*R28),R28))</f>
        <v/>
      </c>
      <c r="W27" s="47" t="str">
        <f>IF(W26="","",IF(S26&lt;100,IF(W26&lt;1%,(1-W26)*W26,(1-W26)*S28),S28))</f>
        <v/>
      </c>
      <c r="X27" s="48" t="s">
        <v>19</v>
      </c>
    </row>
    <row r="28" spans="1:24" s="70" customFormat="1" ht="12.75" x14ac:dyDescent="0.2">
      <c r="A28" s="33">
        <f>'Data Entry'!$B$13</f>
        <v>0</v>
      </c>
      <c r="B28" s="68">
        <f>'Data Entry'!$C13</f>
        <v>0</v>
      </c>
      <c r="C28">
        <f>133.937+62.1561*B28</f>
        <v>133.93700000000001</v>
      </c>
      <c r="D28">
        <f>EXP(-1.59584+0.000805954*B28)</f>
        <v>0.20273815690469088</v>
      </c>
      <c r="E28" t="e">
        <f>-C28/(8.3143*B28)</f>
        <v>#DIV/0!</v>
      </c>
      <c r="F28">
        <f>EXP(-D28*B29)</f>
        <v>1</v>
      </c>
      <c r="G28" t="e">
        <f>100*EXP(E28*F28)</f>
        <v>#DIV/0!</v>
      </c>
      <c r="H28" s="64" t="s">
        <v>44</v>
      </c>
      <c r="I28" s="65" t="s">
        <v>14</v>
      </c>
      <c r="J28" s="66">
        <f>IF($B28&lt;5,5,IF($B28&gt;25,26,$B28))</f>
        <v>5</v>
      </c>
      <c r="K28" s="66">
        <f>IF($GL$6&lt;0,0,IF($B28&gt;24,25,$B28))</f>
        <v>0</v>
      </c>
      <c r="L28" s="66">
        <f>IF($B28&lt;15,15,IF($B28&gt;35,38,$B28))</f>
        <v>15</v>
      </c>
      <c r="M28" s="66">
        <f>IF($B28&lt;9,9,IF($B28&gt;34,34,$B28))</f>
        <v>9</v>
      </c>
      <c r="N28" s="38" t="s">
        <v>45</v>
      </c>
      <c r="O28" s="51">
        <f>A28</f>
        <v>0</v>
      </c>
      <c r="P28" s="40" t="e">
        <f>IF(ROUND((EXP(19.48438-0.85016*G28/LN(G28)-0.000094*B28^3)),0)&gt;100,100,ROUND((EXP(19.48438-0.85016*G28/LN(G28)-0.000094*B28^3)),0))</f>
        <v>#DIV/0!</v>
      </c>
      <c r="Q28" s="46">
        <f>HLOOKUP(K28,GermMatrix,K29)</f>
        <v>100</v>
      </c>
      <c r="R28" s="46">
        <f>HLOOKUP(L28,InsectMatrix,L29)</f>
        <v>100</v>
      </c>
      <c r="S28" s="46">
        <f>HLOOKUP(M28,MiteMatrix,M29)</f>
        <v>100</v>
      </c>
      <c r="T28" s="52" t="str">
        <f>IF($O29="","",IF(P28&lt;100,IF(T27&gt;0,IF($O29/T27&gt;=1,1,$O29/T27),1),0))</f>
        <v/>
      </c>
      <c r="U28" s="52" t="str">
        <f>IF($O29="","",IF(Q28&lt;100,IF(U27&gt;0,IF($O29/U27&gt;=1,1,$O29/U27),1),0))</f>
        <v/>
      </c>
      <c r="V28" s="52" t="str">
        <f>IF($O29="","",IF(R28&lt;100,IF(V27&gt;0,IF($O29/V27&gt;=1,1,$O29/V27),1),0))</f>
        <v/>
      </c>
      <c r="W28" s="52" t="str">
        <f>IF($O29="","",IF(S28&lt;100,IF(W27&gt;0,IF($O29/W27&gt;=1,1,$O29/W27),1),0))</f>
        <v/>
      </c>
      <c r="X28" s="38" t="s">
        <v>16</v>
      </c>
    </row>
    <row r="29" spans="1:24" s="70" customFormat="1" x14ac:dyDescent="0.2">
      <c r="A29" s="33"/>
      <c r="B29" s="69">
        <f>'Data Entry'!$D13</f>
        <v>0</v>
      </c>
      <c r="C29" s="43"/>
      <c r="D29" s="43"/>
      <c r="E29" s="43"/>
      <c r="F29" s="43"/>
      <c r="G29" s="43"/>
      <c r="H29" s="64"/>
      <c r="I29" s="65" t="s">
        <v>17</v>
      </c>
      <c r="J29" s="67">
        <f>VLOOKUP(IF($B29&lt;16,16,ROUNDUP($B29,0)),$T$118:$U$127,2)</f>
        <v>2</v>
      </c>
      <c r="K29" s="67">
        <f>VLOOKUP(IF($B29&lt;13,13,ROUNDUP($B29,0)),$V$118:$W$130,2)</f>
        <v>2</v>
      </c>
      <c r="L29" s="67">
        <f>VLOOKUP(IF($B29&lt;11,11,$B29),$X$118:$Y$168,2)</f>
        <v>2</v>
      </c>
      <c r="M29" s="67">
        <f>VLOOKUP(IF($B29&lt;13.9,13.9,$B29),$Z$118:$AA$209,2)</f>
        <v>2</v>
      </c>
      <c r="N29" s="38" t="s">
        <v>46</v>
      </c>
      <c r="O29" s="45" t="str">
        <f>IF(O30-O28&lt;1,"",O30-O28)</f>
        <v/>
      </c>
      <c r="P29" s="46"/>
      <c r="Q29" s="46"/>
      <c r="R29" s="46"/>
      <c r="S29" s="46"/>
      <c r="T29" s="47" t="str">
        <f>IF(T28="","",IF(P28&lt;100,IF(T28&lt;1%,(1-T28)*T28,(1-T28)*P30),P30))</f>
        <v/>
      </c>
      <c r="U29" s="47" t="str">
        <f>IF(U28="","",IF(Q28&lt;100,IF(U28&lt;1%,(1-U28)*U28,(1-U28)*Q30),Q30))</f>
        <v/>
      </c>
      <c r="V29" s="47" t="str">
        <f>IF(V28="","",IF(R28&lt;100,IF(V28&lt;1%,(1-V28)*V28,(1-V28)*R30),R30))</f>
        <v/>
      </c>
      <c r="W29" s="47" t="str">
        <f>IF(W28="","",IF(S28&lt;100,IF(W28&lt;1%,(1-W28)*W28,(1-W28)*S30),S30))</f>
        <v/>
      </c>
      <c r="X29" s="48" t="s">
        <v>19</v>
      </c>
    </row>
    <row r="30" spans="1:24" s="70" customFormat="1" ht="12.75" x14ac:dyDescent="0.2">
      <c r="A30" s="33">
        <f>'Data Entry'!$B$14</f>
        <v>0</v>
      </c>
      <c r="B30" s="68">
        <f>'Data Entry'!$C14</f>
        <v>0</v>
      </c>
      <c r="C30">
        <f>133.937+62.1561*B30</f>
        <v>133.93700000000001</v>
      </c>
      <c r="D30">
        <f>EXP(-1.59584+0.000805954*B30)</f>
        <v>0.20273815690469088</v>
      </c>
      <c r="E30" t="e">
        <f>-C30/(8.3143*B30)</f>
        <v>#DIV/0!</v>
      </c>
      <c r="F30">
        <f>EXP(-D30*B31)</f>
        <v>1</v>
      </c>
      <c r="G30" t="e">
        <f>100*EXP(E30*F30)</f>
        <v>#DIV/0!</v>
      </c>
      <c r="H30" s="35" t="s">
        <v>47</v>
      </c>
      <c r="I30" s="36" t="s">
        <v>14</v>
      </c>
      <c r="J30" s="37">
        <f>IF($B30&lt;5,5,IF($B30&gt;25,26,$B30))</f>
        <v>5</v>
      </c>
      <c r="K30" s="37">
        <f>IF($GL$6&lt;0,0,IF($B30&gt;24,25,$B30))</f>
        <v>0</v>
      </c>
      <c r="L30" s="37">
        <f>IF($B30&lt;15,15,IF($B30&gt;35,38,$B30))</f>
        <v>15</v>
      </c>
      <c r="M30" s="37">
        <f>IF($B30&lt;9,9,IF($B30&gt;34,34,$B30))</f>
        <v>9</v>
      </c>
      <c r="N30" s="38" t="s">
        <v>48</v>
      </c>
      <c r="O30" s="51">
        <f>A30</f>
        <v>0</v>
      </c>
      <c r="P30" s="40" t="e">
        <f>IF(ROUND((EXP(19.48438-0.85016*G30/LN(G30)-0.000094*B30^3)),0)&gt;100,100,ROUND((EXP(19.48438-0.85016*G30/LN(G30)-0.000094*B30^3)),0))</f>
        <v>#DIV/0!</v>
      </c>
      <c r="Q30" s="46">
        <f>HLOOKUP(K30,GermMatrix,K31)</f>
        <v>100</v>
      </c>
      <c r="R30" s="46">
        <f>HLOOKUP(L30,InsectMatrix,L31)</f>
        <v>100</v>
      </c>
      <c r="S30" s="46">
        <f>HLOOKUP(M30,MiteMatrix,M31)</f>
        <v>100</v>
      </c>
      <c r="T30" s="52" t="str">
        <f>IF($O31="","",IF(P30&lt;100,IF(T29&gt;0,IF($O31/T29&gt;=1,1,$O31/T29),1),0))</f>
        <v/>
      </c>
      <c r="U30" s="52" t="str">
        <f>IF($O31="","",IF(Q30&lt;100,IF(U29&gt;0,IF($O31/U29&gt;=1,1,$O31/U29),1),0))</f>
        <v/>
      </c>
      <c r="V30" s="52" t="str">
        <f>IF($O31="","",IF(R30&lt;100,IF(V29&gt;0,IF($O31/V29&gt;=1,1,$O31/V29),1),0))</f>
        <v/>
      </c>
      <c r="W30" s="52" t="str">
        <f>IF($O31="","",IF(S30&lt;100,IF(W29&gt;0,IF($O31/W29&gt;=1,1,$O31/W29),1),0))</f>
        <v/>
      </c>
      <c r="X30" s="38" t="s">
        <v>16</v>
      </c>
    </row>
    <row r="31" spans="1:24" s="70" customFormat="1" x14ac:dyDescent="0.2">
      <c r="A31" s="71"/>
      <c r="B31" s="69">
        <f>'Data Entry'!$D14</f>
        <v>0</v>
      </c>
      <c r="C31" s="43"/>
      <c r="D31" s="43"/>
      <c r="E31" s="43"/>
      <c r="F31" s="43"/>
      <c r="G31" s="43"/>
      <c r="H31" s="35"/>
      <c r="I31" s="36" t="s">
        <v>17</v>
      </c>
      <c r="J31" s="44">
        <f>VLOOKUP(IF($B31&lt;16,16,ROUNDUP($B31,0)),$T$118:$U$127,2)</f>
        <v>2</v>
      </c>
      <c r="K31" s="44">
        <f>VLOOKUP(IF($B31&lt;13,13,ROUNDUP($B31,0)),$V$118:$W$130,2)</f>
        <v>2</v>
      </c>
      <c r="L31" s="44">
        <f>VLOOKUP(IF($B31&lt;11,11,$B31),$X$118:$Y$168,2)</f>
        <v>2</v>
      </c>
      <c r="M31" s="44">
        <f>VLOOKUP(IF($B31&lt;13.9,13.9,$B31),$Z$118:$AA$209,2)</f>
        <v>2</v>
      </c>
      <c r="N31" s="38" t="s">
        <v>49</v>
      </c>
      <c r="O31" s="45" t="str">
        <f>IF(O32-O30&lt;1,"",O32-O30)</f>
        <v/>
      </c>
      <c r="P31" s="46"/>
      <c r="Q31" s="46"/>
      <c r="R31" s="46"/>
      <c r="S31" s="46"/>
      <c r="T31" s="47" t="str">
        <f>IF(T30="","",IF(P30&lt;100,IF(T30&lt;1%,(1-T30)*T30,(1-T30)*P32),P32))</f>
        <v/>
      </c>
      <c r="U31" s="47" t="str">
        <f>IF(U30="","",IF(Q30&lt;100,IF(U30&lt;1%,(1-U30)*U30,(1-U30)*Q32),Q32))</f>
        <v/>
      </c>
      <c r="V31" s="47" t="str">
        <f>IF(V30="","",IF(R30&lt;100,IF(V30&lt;1%,(1-V30)*V30,(1-V30)*R32),R32))</f>
        <v/>
      </c>
      <c r="W31" s="47" t="str">
        <f>IF(W30="","",IF(S30&lt;100,IF(W30&lt;1%,(1-W30)*W30,(1-W30)*S32),S32))</f>
        <v/>
      </c>
      <c r="X31" s="48" t="s">
        <v>19</v>
      </c>
    </row>
    <row r="32" spans="1:24" s="70" customFormat="1" ht="12.75" x14ac:dyDescent="0.2">
      <c r="A32" s="33">
        <f>'Data Entry'!$B$15</f>
        <v>0</v>
      </c>
      <c r="B32" s="68">
        <f>'Data Entry'!$C15</f>
        <v>0</v>
      </c>
      <c r="C32">
        <f>133.937+62.1561*B32</f>
        <v>133.93700000000001</v>
      </c>
      <c r="D32">
        <f>EXP(-1.59584+0.000805954*B32)</f>
        <v>0.20273815690469088</v>
      </c>
      <c r="E32" t="e">
        <f>-C32/(8.3143*B32)</f>
        <v>#DIV/0!</v>
      </c>
      <c r="F32">
        <f>EXP(-D32*B33)</f>
        <v>1</v>
      </c>
      <c r="G32" t="e">
        <f>100*EXP(E32*F32)</f>
        <v>#DIV/0!</v>
      </c>
      <c r="H32" s="49" t="s">
        <v>50</v>
      </c>
      <c r="I32" s="50" t="s">
        <v>14</v>
      </c>
      <c r="J32" s="34">
        <f>IF($B32&lt;5,5,IF($B32&gt;25,26,$B32))</f>
        <v>5</v>
      </c>
      <c r="K32" s="34">
        <f>IF($GL$6&lt;0,0,IF($B32&gt;24,25,$B32))</f>
        <v>0</v>
      </c>
      <c r="L32" s="34">
        <f>IF($B32&lt;15,15,IF($B32&gt;35,38,$B32))</f>
        <v>15</v>
      </c>
      <c r="M32" s="34">
        <f>IF($B32&lt;9,9,IF($B32&gt;34,34,$B32))</f>
        <v>9</v>
      </c>
      <c r="N32" s="38" t="s">
        <v>51</v>
      </c>
      <c r="O32" s="51">
        <f>A32</f>
        <v>0</v>
      </c>
      <c r="P32" s="40" t="e">
        <f>IF(ROUND((EXP(19.48438-0.85016*G32/LN(G32)-0.000094*B32^3)),0)&gt;100,100,ROUND((EXP(19.48438-0.85016*G32/LN(G32)-0.000094*B32^3)),0))</f>
        <v>#DIV/0!</v>
      </c>
      <c r="Q32" s="46">
        <f>HLOOKUP(K32,GermMatrix,K33)</f>
        <v>100</v>
      </c>
      <c r="R32" s="46">
        <f>HLOOKUP(L32,InsectMatrix,L33)</f>
        <v>100</v>
      </c>
      <c r="S32" s="46">
        <f>HLOOKUP(M32,MiteMatrix,M33)</f>
        <v>100</v>
      </c>
      <c r="T32" s="52" t="str">
        <f>IF($O33="","",IF(P32&lt;100,IF(T31&gt;0,IF($O33/T31&gt;=1,1,$O33/T31),1),0))</f>
        <v/>
      </c>
      <c r="U32" s="52" t="str">
        <f>IF($O33="","",IF(Q32&lt;100,IF(U31&gt;0,IF($O33/U31&gt;=1,1,$O33/U31),1),0))</f>
        <v/>
      </c>
      <c r="V32" s="52" t="str">
        <f>IF($O33="","",IF(R32&lt;100,IF(V31&gt;0,IF($O33/V31&gt;=1,1,$O33/V31),1),0))</f>
        <v/>
      </c>
      <c r="W32" s="52" t="str">
        <f>IF($O33="","",IF(S32&lt;100,IF(W31&gt;0,IF($O33/W31&gt;=1,1,$O33/W31),1),0))</f>
        <v/>
      </c>
      <c r="X32" s="38" t="s">
        <v>16</v>
      </c>
    </row>
    <row r="33" spans="1:24" s="70" customFormat="1" x14ac:dyDescent="0.2">
      <c r="A33" s="71"/>
      <c r="B33" s="69">
        <f>'Data Entry'!$D15</f>
        <v>0</v>
      </c>
      <c r="C33" s="43"/>
      <c r="D33" s="43"/>
      <c r="E33" s="43"/>
      <c r="F33" s="43"/>
      <c r="G33" s="43"/>
      <c r="H33" s="53"/>
      <c r="I33" s="50" t="s">
        <v>17</v>
      </c>
      <c r="J33" s="54">
        <f>VLOOKUP(IF($B33&lt;16,16,ROUNDUP($B33,0)),$T$118:$U$127,2)</f>
        <v>2</v>
      </c>
      <c r="K33" s="54">
        <f>VLOOKUP(IF($B33&lt;13,13,ROUNDUP($B33,0)),$V$118:$W$130,2)</f>
        <v>2</v>
      </c>
      <c r="L33" s="54">
        <f>VLOOKUP(IF($B33&lt;11,11,$B33),$X$118:$Y$168,2)</f>
        <v>2</v>
      </c>
      <c r="M33" s="54">
        <f>VLOOKUP(IF($B33&lt;13.9,13.9,$B33),$Z$118:$AA$209,2)</f>
        <v>2</v>
      </c>
      <c r="N33" s="38" t="s">
        <v>52</v>
      </c>
      <c r="O33" s="45" t="str">
        <f>IF(O34-O32&lt;1,"",O34-O32)</f>
        <v/>
      </c>
      <c r="P33" s="46"/>
      <c r="Q33" s="46"/>
      <c r="R33" s="46"/>
      <c r="S33" s="46"/>
      <c r="T33" s="47" t="str">
        <f>IF(T32="","",IF(P32&lt;100,IF(T32&lt;1%,(1-T32)*T32,(1-T32)*P34),P34))</f>
        <v/>
      </c>
      <c r="U33" s="47" t="str">
        <f>IF(U32="","",IF(Q32&lt;100,IF(U32&lt;1%,(1-U32)*U32,(1-U32)*Q34),Q34))</f>
        <v/>
      </c>
      <c r="V33" s="47" t="str">
        <f>IF(V32="","",IF(R32&lt;100,IF(V32&lt;1%,(1-V32)*V32,(1-V32)*R34),R34))</f>
        <v/>
      </c>
      <c r="W33" s="47" t="str">
        <f>IF(W32="","",IF(S32&lt;100,IF(W32&lt;1%,(1-W32)*W32,(1-W32)*S34),S34))</f>
        <v/>
      </c>
      <c r="X33" s="48" t="s">
        <v>19</v>
      </c>
    </row>
    <row r="34" spans="1:24" s="70" customFormat="1" ht="12.75" x14ac:dyDescent="0.2">
      <c r="A34" s="33">
        <f>'Data Entry'!$B$16</f>
        <v>0</v>
      </c>
      <c r="B34" s="68">
        <f>'Data Entry'!$C16</f>
        <v>0</v>
      </c>
      <c r="C34">
        <f>133.937+62.1561*B34</f>
        <v>133.93700000000001</v>
      </c>
      <c r="D34">
        <f>EXP(-1.59584+0.000805954*B34)</f>
        <v>0.20273815690469088</v>
      </c>
      <c r="E34" t="e">
        <f>-C34/(8.3143*B34)</f>
        <v>#DIV/0!</v>
      </c>
      <c r="F34">
        <f>EXP(-D34*B35)</f>
        <v>1</v>
      </c>
      <c r="G34" t="e">
        <f>100*EXP(E34*F34)</f>
        <v>#DIV/0!</v>
      </c>
      <c r="H34" s="38" t="s">
        <v>53</v>
      </c>
      <c r="I34" s="55" t="s">
        <v>14</v>
      </c>
      <c r="J34" s="56">
        <f>IF($B34&lt;5,5,IF($B34&gt;25,26,$B34))</f>
        <v>5</v>
      </c>
      <c r="K34" s="56">
        <f>IF($GL$6&lt;0,0,IF($B34&gt;24,25,$B34))</f>
        <v>0</v>
      </c>
      <c r="L34" s="56">
        <f>IF($B34&lt;15,15,IF($B34&gt;35,38,$B34))</f>
        <v>15</v>
      </c>
      <c r="M34" s="56">
        <f>IF($B34&lt;9,9,IF($B34&gt;34,34,$B34))</f>
        <v>9</v>
      </c>
      <c r="N34" s="38" t="s">
        <v>54</v>
      </c>
      <c r="O34" s="51">
        <f>A34</f>
        <v>0</v>
      </c>
      <c r="P34" s="40" t="e">
        <f>IF(ROUND((EXP(19.48438-0.85016*G34/LN(G34)-0.000094*B34^3)),0)&gt;100,100,ROUND((EXP(19.48438-0.85016*G34/LN(G34)-0.000094*B34^3)),0))</f>
        <v>#DIV/0!</v>
      </c>
      <c r="Q34" s="46">
        <f>HLOOKUP(K34,GermMatrix,K35)</f>
        <v>100</v>
      </c>
      <c r="R34" s="46">
        <f>HLOOKUP(L34,InsectMatrix,L35)</f>
        <v>100</v>
      </c>
      <c r="S34" s="46">
        <f>HLOOKUP(M34,MiteMatrix,M35)</f>
        <v>100</v>
      </c>
      <c r="T34" s="52" t="str">
        <f>IF($O35="","",IF(P34&lt;100,IF(T33&gt;0,IF($O35/T33&gt;=1,1,$O35/T33),1),0))</f>
        <v/>
      </c>
      <c r="U34" s="52" t="str">
        <f>IF($O35="","",IF(Q34&lt;100,IF(U33&gt;0,IF($O35/U33&gt;=1,1,$O35/U33),1),0))</f>
        <v/>
      </c>
      <c r="V34" s="52" t="str">
        <f>IF($O35="","",IF(R34&lt;100,IF(V33&gt;0,IF($O35/V33&gt;=1,1,$O35/V33),1),0))</f>
        <v/>
      </c>
      <c r="W34" s="52" t="str">
        <f>IF($O35="","",IF(S34&lt;100,IF(W33&gt;0,IF($O35/W33&gt;=1,1,$O35/W33),1),0))</f>
        <v/>
      </c>
      <c r="X34" s="38" t="s">
        <v>16</v>
      </c>
    </row>
    <row r="35" spans="1:24" s="70" customFormat="1" x14ac:dyDescent="0.2">
      <c r="A35" s="71"/>
      <c r="B35" s="69">
        <f>'Data Entry'!$D16</f>
        <v>0</v>
      </c>
      <c r="C35" s="43"/>
      <c r="D35" s="43"/>
      <c r="E35" s="43"/>
      <c r="F35" s="43"/>
      <c r="G35" s="43"/>
      <c r="H35" s="38"/>
      <c r="I35" s="55" t="s">
        <v>17</v>
      </c>
      <c r="J35" s="57">
        <f>VLOOKUP(IF($B35&lt;16,16,ROUNDUP($B35,0)),$T$118:$U$127,2)</f>
        <v>2</v>
      </c>
      <c r="K35" s="57">
        <f>VLOOKUP(IF($B35&lt;13,13,ROUNDUP($B35,0)),$V$118:$W$130,2)</f>
        <v>2</v>
      </c>
      <c r="L35" s="57">
        <f>VLOOKUP(IF($B35&lt;11,11,$B35),$X$118:$Y$168,2)</f>
        <v>2</v>
      </c>
      <c r="M35" s="57">
        <f>VLOOKUP(IF($B35&lt;13.9,13.9,$B35),$Z$118:$AA$209,2)</f>
        <v>2</v>
      </c>
      <c r="N35" s="38" t="s">
        <v>55</v>
      </c>
      <c r="O35" s="45" t="str">
        <f>IF(O36-O34&lt;1,"",O36-O34)</f>
        <v/>
      </c>
      <c r="P35" s="46"/>
      <c r="Q35" s="46"/>
      <c r="R35" s="46"/>
      <c r="S35" s="46"/>
      <c r="T35" s="47" t="str">
        <f>IF(T34="","",IF(P34&lt;100,IF(T34&lt;1%,(1-T34)*T34,(1-T34)*P36),P36))</f>
        <v/>
      </c>
      <c r="U35" s="47" t="str">
        <f>IF(U34="","",IF(Q34&lt;100,IF(U34&lt;1%,(1-U34)*U34,(1-U34)*Q36),Q36))</f>
        <v/>
      </c>
      <c r="V35" s="47" t="str">
        <f>IF(V34="","",IF(R34&lt;100,IF(V34&lt;1%,(1-V34)*V34,(1-V34)*R36),R36))</f>
        <v/>
      </c>
      <c r="W35" s="47" t="str">
        <f>IF(W34="","",IF(S34&lt;100,IF(W34&lt;1%,(1-W34)*W34,(1-W34)*S36),S36))</f>
        <v/>
      </c>
      <c r="X35" s="48" t="s">
        <v>19</v>
      </c>
    </row>
    <row r="36" spans="1:24" s="70" customFormat="1" ht="12.75" x14ac:dyDescent="0.2">
      <c r="A36" s="33">
        <f>'Data Entry'!$B$17</f>
        <v>0</v>
      </c>
      <c r="B36" s="68">
        <f>'Data Entry'!$C17</f>
        <v>0</v>
      </c>
      <c r="C36">
        <f>133.937+62.1561*B36</f>
        <v>133.93700000000001</v>
      </c>
      <c r="D36">
        <f>EXP(-1.59584+0.000805954*B36)</f>
        <v>0.20273815690469088</v>
      </c>
      <c r="E36" t="e">
        <f>-C36/(8.3143*B36)</f>
        <v>#DIV/0!</v>
      </c>
      <c r="F36">
        <f>EXP(-D36*B37)</f>
        <v>1</v>
      </c>
      <c r="G36" t="e">
        <f>100*EXP(E36*F36)</f>
        <v>#DIV/0!</v>
      </c>
      <c r="H36" s="59" t="s">
        <v>56</v>
      </c>
      <c r="I36" s="60" t="s">
        <v>14</v>
      </c>
      <c r="J36" s="61">
        <f>IF($B36&lt;5,5,IF($B36&gt;25,26,$B36))</f>
        <v>5</v>
      </c>
      <c r="K36" s="61">
        <f>IF($GL$6&lt;0,0,IF($B36&gt;24,25,$B36))</f>
        <v>0</v>
      </c>
      <c r="L36" s="61">
        <f>IF($B36&lt;15,15,IF($B36&gt;35,38,$B36))</f>
        <v>15</v>
      </c>
      <c r="M36" s="61">
        <f>IF($B36&lt;9,9,IF($B36&gt;34,34,$B36))</f>
        <v>9</v>
      </c>
      <c r="N36" s="38" t="s">
        <v>57</v>
      </c>
      <c r="O36" s="51">
        <f>A36</f>
        <v>0</v>
      </c>
      <c r="P36" s="40" t="e">
        <f>IF(ROUND((EXP(19.48438-0.85016*G36/LN(G36)-0.000094*B36^3)),0)&gt;100,100,ROUND((EXP(19.48438-0.85016*G36/LN(G36)-0.000094*B36^3)),0))</f>
        <v>#DIV/0!</v>
      </c>
      <c r="Q36" s="46">
        <f>HLOOKUP(K36,GermMatrix,K37)</f>
        <v>100</v>
      </c>
      <c r="R36" s="46">
        <f>HLOOKUP(L36,InsectMatrix,L37)</f>
        <v>100</v>
      </c>
      <c r="S36" s="46">
        <f>HLOOKUP(M36,MiteMatrix,M37)</f>
        <v>100</v>
      </c>
      <c r="T36" s="52" t="str">
        <f>IF($O37="","",IF(P36&lt;100,IF(T35&gt;0,IF($O37/T35&gt;=1,1,$O37/T35),1),0))</f>
        <v/>
      </c>
      <c r="U36" s="52" t="str">
        <f>IF($O37="","",IF(Q36&lt;100,IF(U35&gt;0,IF($O37/U35&gt;=1,1,$O37/U35),1),0))</f>
        <v/>
      </c>
      <c r="V36" s="52" t="str">
        <f>IF($O37="","",IF(R36&lt;100,IF(V35&gt;0,IF($O37/V35&gt;=1,1,$O37/V35),1),0))</f>
        <v/>
      </c>
      <c r="W36" s="52" t="str">
        <f>IF($O37="","",IF(S36&lt;100,IF(W35&gt;0,IF($O37/W35&gt;=1,1,$O37/W35),1),0))</f>
        <v/>
      </c>
      <c r="X36" s="38" t="s">
        <v>16</v>
      </c>
    </row>
    <row r="37" spans="1:24" s="70" customFormat="1" x14ac:dyDescent="0.2">
      <c r="A37" s="71"/>
      <c r="B37" s="69">
        <f>'Data Entry'!$D17</f>
        <v>0</v>
      </c>
      <c r="C37" s="43"/>
      <c r="D37" s="43"/>
      <c r="E37" s="43"/>
      <c r="F37" s="43"/>
      <c r="G37" s="43"/>
      <c r="H37" s="59"/>
      <c r="I37" s="60" t="s">
        <v>17</v>
      </c>
      <c r="J37" s="63">
        <f>VLOOKUP(IF($B37&lt;16,16,ROUNDUP($B37,0)),$T$118:$U$127,2)</f>
        <v>2</v>
      </c>
      <c r="K37" s="63">
        <f>VLOOKUP(IF($B37&lt;13,13,ROUNDUP($B37,0)),$V$118:$W$130,2)</f>
        <v>2</v>
      </c>
      <c r="L37" s="63">
        <f>VLOOKUP(IF($B37&lt;11,11,$B37),$X$118:$Y$168,2)</f>
        <v>2</v>
      </c>
      <c r="M37" s="63">
        <f>VLOOKUP(IF($B37&lt;13.9,13.9,$B37),$Z$118:$AA$209,2)</f>
        <v>2</v>
      </c>
      <c r="N37" s="38" t="s">
        <v>58</v>
      </c>
      <c r="O37" s="45" t="str">
        <f>IF(O38-O36&lt;1,"",O38-O36)</f>
        <v/>
      </c>
      <c r="P37" s="46"/>
      <c r="Q37" s="46"/>
      <c r="R37" s="46"/>
      <c r="S37" s="46"/>
      <c r="T37" s="47" t="str">
        <f>IF(T36="","",IF(P36&lt;100,IF(T36&lt;1%,(1-T36)*T36,(1-T36)*P38),P38))</f>
        <v/>
      </c>
      <c r="U37" s="47" t="str">
        <f>IF(U36="","",IF(Q36&lt;100,IF(U36&lt;1%,(1-U36)*U36,(1-U36)*Q38),Q38))</f>
        <v/>
      </c>
      <c r="V37" s="47" t="str">
        <f>IF(V36="","",IF(R36&lt;100,IF(V36&lt;1%,(1-V36)*V36,(1-V36)*R38),R38))</f>
        <v/>
      </c>
      <c r="W37" s="47" t="str">
        <f>IF(W36="","",IF(S36&lt;100,IF(W36&lt;1%,(1-W36)*W36,(1-W36)*S38),S38))</f>
        <v/>
      </c>
      <c r="X37" s="48" t="s">
        <v>19</v>
      </c>
    </row>
    <row r="38" spans="1:24" s="70" customFormat="1" ht="12.75" x14ac:dyDescent="0.2">
      <c r="A38" s="33">
        <f>'Data Entry'!$B$18</f>
        <v>0</v>
      </c>
      <c r="B38" s="68">
        <f>'Data Entry'!$C18</f>
        <v>0</v>
      </c>
      <c r="C38">
        <f>133.937+62.1561*B38</f>
        <v>133.93700000000001</v>
      </c>
      <c r="D38">
        <f>EXP(-1.59584+0.000805954*B38)</f>
        <v>0.20273815690469088</v>
      </c>
      <c r="E38" t="e">
        <f>-C38/(8.3143*B38)</f>
        <v>#DIV/0!</v>
      </c>
      <c r="F38">
        <f>EXP(-D38*B39)</f>
        <v>1</v>
      </c>
      <c r="G38" t="e">
        <f>100*EXP(E38*F38)</f>
        <v>#DIV/0!</v>
      </c>
      <c r="H38" s="64" t="s">
        <v>59</v>
      </c>
      <c r="I38" s="65" t="s">
        <v>14</v>
      </c>
      <c r="J38" s="66">
        <f>IF($B38&lt;5,5,IF($B38&gt;25,26,$B38))</f>
        <v>5</v>
      </c>
      <c r="K38" s="66">
        <f>IF($GL$6&lt;0,0,IF($B38&gt;24,25,$B38))</f>
        <v>0</v>
      </c>
      <c r="L38" s="66">
        <f>IF($B38&lt;15,15,IF($B38&gt;35,38,$B38))</f>
        <v>15</v>
      </c>
      <c r="M38" s="66">
        <f>IF($B38&lt;9,9,IF($B38&gt;34,34,$B38))</f>
        <v>9</v>
      </c>
      <c r="N38" s="38" t="s">
        <v>60</v>
      </c>
      <c r="O38" s="51">
        <f>A38</f>
        <v>0</v>
      </c>
      <c r="P38" s="40" t="e">
        <f>IF(ROUND((EXP(19.48438-0.85016*G38/LN(G38)-0.000094*B38^3)),0)&gt;100,100,ROUND((EXP(19.48438-0.85016*G38/LN(G38)-0.000094*B38^3)),0))</f>
        <v>#DIV/0!</v>
      </c>
      <c r="Q38" s="46">
        <f>HLOOKUP(K38,GermMatrix,K39)</f>
        <v>100</v>
      </c>
      <c r="R38" s="46">
        <f>HLOOKUP(L38,InsectMatrix,L39)</f>
        <v>100</v>
      </c>
      <c r="S38" s="46">
        <f>HLOOKUP(M38,MiteMatrix,M39)</f>
        <v>100</v>
      </c>
      <c r="T38" s="52" t="str">
        <f>IF($O39="","",IF(P38&lt;100,IF(T37&gt;0,IF($O39/T37&gt;=1,1,$O39/T37),1),0))</f>
        <v/>
      </c>
      <c r="U38" s="52" t="str">
        <f>IF($O39="","",IF(Q38&lt;100,IF(U37&gt;0,IF($O39/U37&gt;=1,1,$O39/U37),1),0))</f>
        <v/>
      </c>
      <c r="V38" s="52" t="str">
        <f>IF($O39="","",IF(R38&lt;100,IF(V37&gt;0,IF($O39/V37&gt;=1,1,$O39/V37),1),0))</f>
        <v/>
      </c>
      <c r="W38" s="52" t="str">
        <f>IF($O39="","",IF(S38&lt;100,IF(W37&gt;0,IF($O39/W37&gt;=1,1,$O39/W37),1),0))</f>
        <v/>
      </c>
      <c r="X38" s="38" t="s">
        <v>16</v>
      </c>
    </row>
    <row r="39" spans="1:24" s="70" customFormat="1" x14ac:dyDescent="0.2">
      <c r="A39" s="71"/>
      <c r="B39" s="69">
        <f>'Data Entry'!$D18</f>
        <v>0</v>
      </c>
      <c r="C39" s="43"/>
      <c r="D39" s="43"/>
      <c r="E39" s="43"/>
      <c r="F39" s="43"/>
      <c r="G39" s="43"/>
      <c r="H39" s="64"/>
      <c r="I39" s="65" t="s">
        <v>17</v>
      </c>
      <c r="J39" s="67">
        <f>VLOOKUP(IF($B39&lt;16,16,ROUNDUP($B39,0)),$T$118:$U$127,2)</f>
        <v>2</v>
      </c>
      <c r="K39" s="67">
        <f>VLOOKUP(IF($B39&lt;13,13,ROUNDUP($B39,0)),$V$118:$W$130,2)</f>
        <v>2</v>
      </c>
      <c r="L39" s="67">
        <f>VLOOKUP(IF($B39&lt;11,11,$B39),$X$118:$Y$168,2)</f>
        <v>2</v>
      </c>
      <c r="M39" s="67">
        <f>VLOOKUP(IF($B39&lt;13.9,13.9,$B39),$Z$118:$AA$209,2)</f>
        <v>2</v>
      </c>
      <c r="N39" s="38" t="s">
        <v>61</v>
      </c>
      <c r="O39" s="45" t="str">
        <f>IF(O40-O38&lt;1,"",O40-O38)</f>
        <v/>
      </c>
      <c r="P39" s="46"/>
      <c r="Q39" s="46"/>
      <c r="R39" s="46"/>
      <c r="S39" s="46"/>
      <c r="T39" s="47" t="str">
        <f>IF(T38="","",IF(P38&lt;100,IF(T38&lt;1%,(1-T38)*T38,(1-T38)*P40),P40))</f>
        <v/>
      </c>
      <c r="U39" s="47" t="str">
        <f>IF(U38="","",IF(Q38&lt;100,IF(U38&lt;1%,(1-U38)*U38,(1-U38)*Q40),Q40))</f>
        <v/>
      </c>
      <c r="V39" s="47" t="str">
        <f>IF(V38="","",IF(R38&lt;100,IF(V38&lt;1%,(1-V38)*V38,(1-V38)*R40),R40))</f>
        <v/>
      </c>
      <c r="W39" s="47" t="str">
        <f>IF(W38="","",IF(S38&lt;100,IF(W38&lt;1%,(1-W38)*W38,(1-W38)*S40),S40))</f>
        <v/>
      </c>
      <c r="X39" s="48" t="s">
        <v>19</v>
      </c>
    </row>
    <row r="40" spans="1:24" s="70" customFormat="1" ht="12.75" x14ac:dyDescent="0.2">
      <c r="A40" s="33">
        <f>'Data Entry'!$B$19</f>
        <v>0</v>
      </c>
      <c r="B40" s="68">
        <f>'Data Entry'!$C19</f>
        <v>0</v>
      </c>
      <c r="C40">
        <f>133.937+62.1561*B40</f>
        <v>133.93700000000001</v>
      </c>
      <c r="D40">
        <f>EXP(-1.59584+0.000805954*B40)</f>
        <v>0.20273815690469088</v>
      </c>
      <c r="E40" t="e">
        <f>-C40/(8.3143*B40)</f>
        <v>#DIV/0!</v>
      </c>
      <c r="F40">
        <f>EXP(-D40*B41)</f>
        <v>1</v>
      </c>
      <c r="G40" t="e">
        <f>100*EXP(E40*F40)</f>
        <v>#DIV/0!</v>
      </c>
      <c r="H40" s="35" t="s">
        <v>62</v>
      </c>
      <c r="I40" s="36" t="s">
        <v>14</v>
      </c>
      <c r="J40" s="37">
        <f>IF($B40&lt;5,5,IF($B40&gt;25,26,$B40))</f>
        <v>5</v>
      </c>
      <c r="K40" s="37">
        <f>IF($GL$6&lt;0,0,IF($B40&gt;24,25,$B40))</f>
        <v>0</v>
      </c>
      <c r="L40" s="37">
        <f>IF($B40&lt;15,15,IF($B40&gt;35,38,$B40))</f>
        <v>15</v>
      </c>
      <c r="M40" s="37">
        <f>IF($B40&lt;9,9,IF($B40&gt;34,34,$B40))</f>
        <v>9</v>
      </c>
      <c r="N40" s="38" t="s">
        <v>63</v>
      </c>
      <c r="O40" s="51">
        <f>A40</f>
        <v>0</v>
      </c>
      <c r="P40" s="40" t="e">
        <f>IF(ROUND((EXP(19.48438-0.85016*G40/LN(G40)-0.000094*B40^3)),0)&gt;100,100,ROUND((EXP(19.48438-0.85016*G40/LN(G40)-0.000094*B40^3)),0))</f>
        <v>#DIV/0!</v>
      </c>
      <c r="Q40" s="46">
        <f>HLOOKUP(K40,GermMatrix,K41)</f>
        <v>100</v>
      </c>
      <c r="R40" s="46">
        <f>HLOOKUP(L40,InsectMatrix,L41)</f>
        <v>100</v>
      </c>
      <c r="S40" s="46">
        <f>HLOOKUP(M40,MiteMatrix,M41)</f>
        <v>100</v>
      </c>
      <c r="T40" s="52" t="str">
        <f>IF($O41="","",IF(P40&lt;100,IF(T39&gt;0,IF($O41/T39&gt;=1,1,$O41/T39),1),0))</f>
        <v/>
      </c>
      <c r="U40" s="52" t="str">
        <f>IF($O41="","",IF(Q40&lt;100,IF(U39&gt;0,IF($O41/U39&gt;=1,1,$O41/U39),1),0))</f>
        <v/>
      </c>
      <c r="V40" s="52" t="str">
        <f>IF($O41="","",IF(R40&lt;100,IF(V39&gt;0,IF($O41/V39&gt;=1,1,$O41/V39),1),0))</f>
        <v/>
      </c>
      <c r="W40" s="52" t="str">
        <f>IF($O41="","",IF(S40&lt;100,IF(W39&gt;0,IF($O41/W39&gt;=1,1,$O41/W39),1),0))</f>
        <v/>
      </c>
      <c r="X40" s="38" t="s">
        <v>16</v>
      </c>
    </row>
    <row r="41" spans="1:24" s="70" customFormat="1" x14ac:dyDescent="0.2">
      <c r="A41" s="49"/>
      <c r="B41" s="69">
        <f>'Data Entry'!$D19</f>
        <v>0</v>
      </c>
      <c r="C41" s="43"/>
      <c r="D41" s="43"/>
      <c r="E41" s="43"/>
      <c r="F41" s="43"/>
      <c r="G41" s="43"/>
      <c r="H41" s="35"/>
      <c r="I41" s="36" t="s">
        <v>17</v>
      </c>
      <c r="J41" s="44">
        <f>VLOOKUP(IF($B41&lt;16,16,ROUNDUP($B41,0)),$T$118:$U$127,2)</f>
        <v>2</v>
      </c>
      <c r="K41" s="44">
        <f>VLOOKUP(IF($B41&lt;13,13,ROUNDUP($B41,0)),$V$118:$W$130,2)</f>
        <v>2</v>
      </c>
      <c r="L41" s="44">
        <f>VLOOKUP(IF($B41&lt;11,11,$B41),$X$118:$Y$168,2)</f>
        <v>2</v>
      </c>
      <c r="M41" s="44">
        <f>VLOOKUP(IF($B41&lt;13.9,13.9,$B41),$Z$118:$AA$209,2)</f>
        <v>2</v>
      </c>
      <c r="N41" s="38" t="s">
        <v>64</v>
      </c>
      <c r="O41" s="45" t="str">
        <f>IF(O42-O40&lt;1,"",O42-O40)</f>
        <v/>
      </c>
      <c r="P41" s="46"/>
      <c r="Q41" s="46"/>
      <c r="R41" s="46"/>
      <c r="S41" s="46"/>
      <c r="T41" s="47" t="str">
        <f>IF(T40="","",IF(P40&lt;100,IF(T40&lt;1%,(1-T40)*T40,(1-T40)*P42),P42))</f>
        <v/>
      </c>
      <c r="U41" s="47" t="str">
        <f>IF(U40="","",IF(Q40&lt;100,IF(U40&lt;1%,(1-U40)*U40,(1-U40)*Q42),Q42))</f>
        <v/>
      </c>
      <c r="V41" s="47" t="str">
        <f>IF(V40="","",IF(R40&lt;100,IF(V40&lt;1%,(1-V40)*V40,(1-V40)*R42),R42))</f>
        <v/>
      </c>
      <c r="W41" s="47" t="str">
        <f>IF(W40="","",IF(S40&lt;100,IF(W40&lt;1%,(1-W40)*W40,(1-W40)*S42),S42))</f>
        <v/>
      </c>
      <c r="X41" s="48" t="s">
        <v>19</v>
      </c>
    </row>
    <row r="42" spans="1:24" ht="12.75" x14ac:dyDescent="0.2">
      <c r="A42" s="33">
        <f>'Data Entry'!$B$20</f>
        <v>0</v>
      </c>
      <c r="B42" s="68">
        <f>'Data Entry'!$C20</f>
        <v>0</v>
      </c>
      <c r="C42">
        <f>133.937+62.1561*B42</f>
        <v>133.93700000000001</v>
      </c>
      <c r="D42">
        <f>EXP(-1.59584+0.000805954*B42)</f>
        <v>0.20273815690469088</v>
      </c>
      <c r="E42" t="e">
        <f>-C42/(8.3143*B42)</f>
        <v>#DIV/0!</v>
      </c>
      <c r="F42">
        <f>EXP(-D42*B43)</f>
        <v>1</v>
      </c>
      <c r="G42" t="e">
        <f>100*EXP(E42*F42)</f>
        <v>#DIV/0!</v>
      </c>
      <c r="H42" s="49" t="s">
        <v>65</v>
      </c>
      <c r="I42" s="50" t="s">
        <v>14</v>
      </c>
      <c r="J42" s="34">
        <f>IF($B42&lt;5,5,IF($B42&gt;25,26,$B42))</f>
        <v>5</v>
      </c>
      <c r="K42" s="34">
        <f>IF($GL$6&lt;0,0,IF($B42&gt;24,25,$B42))</f>
        <v>0</v>
      </c>
      <c r="L42" s="34">
        <f>IF($B42&lt;15,15,IF($B42&gt;35,38,$B42))</f>
        <v>15</v>
      </c>
      <c r="M42" s="34">
        <f>IF($B42&lt;9,9,IF($B42&gt;34,34,$B42))</f>
        <v>9</v>
      </c>
      <c r="N42" s="38" t="s">
        <v>66</v>
      </c>
      <c r="O42" s="51">
        <f>A42</f>
        <v>0</v>
      </c>
      <c r="P42" s="40" t="e">
        <f>IF(ROUND((EXP(19.48438-0.85016*G42/LN(G42)-0.000094*B42^3)),0)&gt;100,100,ROUND((EXP(19.48438-0.85016*G42/LN(G42)-0.000094*B42^3)),0))</f>
        <v>#DIV/0!</v>
      </c>
      <c r="Q42" s="46">
        <f>HLOOKUP(K42,GermMatrix,K43)</f>
        <v>100</v>
      </c>
      <c r="R42" s="46">
        <f>HLOOKUP(L42,InsectMatrix,L43)</f>
        <v>100</v>
      </c>
      <c r="S42" s="46">
        <f>HLOOKUP(M42,MiteMatrix,M43)</f>
        <v>100</v>
      </c>
      <c r="T42" s="52" t="str">
        <f>IF($O43="","",IF(P42&lt;100,IF(T41&gt;0,IF($O43/T41&gt;=1,1,$O43/T41),1),0))</f>
        <v/>
      </c>
      <c r="U42" s="52" t="str">
        <f>IF($O43="","",IF(Q42&lt;100,IF(U41&gt;0,IF($O43/U41&gt;=1,1,$O43/U41),1),0))</f>
        <v/>
      </c>
      <c r="V42" s="52" t="str">
        <f>IF($O43="","",IF(R42&lt;100,IF(V41&gt;0,IF($O43/V41&gt;=1,1,$O43/V41),1),0))</f>
        <v/>
      </c>
      <c r="W42" s="52" t="str">
        <f>IF($O43="","",IF(S42&lt;100,IF(W41&gt;0,IF($O43/W41&gt;=1,1,$O43/W41),1),0))</f>
        <v/>
      </c>
      <c r="X42" s="38" t="s">
        <v>16</v>
      </c>
    </row>
    <row r="43" spans="1:24" x14ac:dyDescent="0.2">
      <c r="A43" s="49"/>
      <c r="B43" s="69">
        <f>'Data Entry'!$D20</f>
        <v>0</v>
      </c>
      <c r="C43" s="43"/>
      <c r="D43" s="43"/>
      <c r="E43" s="43"/>
      <c r="F43" s="43"/>
      <c r="G43" s="43"/>
      <c r="H43" s="53"/>
      <c r="I43" s="50" t="s">
        <v>17</v>
      </c>
      <c r="J43" s="54">
        <f>VLOOKUP(IF($B43&lt;16,16,ROUNDUP($B43,0)),$T$118:$U$127,2)</f>
        <v>2</v>
      </c>
      <c r="K43" s="54">
        <f>VLOOKUP(IF($B43&lt;13,13,ROUNDUP($B43,0)),$V$118:$W$130,2)</f>
        <v>2</v>
      </c>
      <c r="L43" s="54">
        <f>VLOOKUP(IF($B43&lt;11,11,$B43),$X$118:$Y$168,2)</f>
        <v>2</v>
      </c>
      <c r="M43" s="54">
        <f>VLOOKUP(IF($B43&lt;13.9,13.9,$B43),$Z$118:$AA$209,2)</f>
        <v>2</v>
      </c>
      <c r="N43" s="38" t="s">
        <v>67</v>
      </c>
      <c r="O43" s="45" t="str">
        <f>IF(O44-O42&lt;1,"",O44-O42)</f>
        <v/>
      </c>
      <c r="P43" s="46"/>
      <c r="Q43" s="46"/>
      <c r="R43" s="46"/>
      <c r="S43" s="46"/>
      <c r="T43" s="47" t="str">
        <f>IF(T42="","",IF(P42&lt;100,IF(T42&lt;1%,(1-T42)*T42,(1-T42)*P44),P44))</f>
        <v/>
      </c>
      <c r="U43" s="47" t="str">
        <f>IF(U42="","",IF(Q42&lt;100,IF(U42&lt;1%,(1-U42)*U42,(1-U42)*Q44),Q44))</f>
        <v/>
      </c>
      <c r="V43" s="47" t="str">
        <f>IF(V42="","",IF(R42&lt;100,IF(V42&lt;1%,(1-V42)*V42,(1-V42)*R44),R44))</f>
        <v/>
      </c>
      <c r="W43" s="47" t="str">
        <f>IF(W42="","",IF(S42&lt;100,IF(W42&lt;1%,(1-W42)*W42,(1-W42)*S44),S44))</f>
        <v/>
      </c>
      <c r="X43" s="48" t="s">
        <v>19</v>
      </c>
    </row>
    <row r="44" spans="1:24" ht="12.75" x14ac:dyDescent="0.2">
      <c r="A44" s="33">
        <f>'Data Entry'!$B$21</f>
        <v>0</v>
      </c>
      <c r="B44" s="68">
        <f>'Data Entry'!$C21</f>
        <v>0</v>
      </c>
      <c r="C44">
        <f>133.937+62.1561*B44</f>
        <v>133.93700000000001</v>
      </c>
      <c r="D44">
        <f>EXP(-1.59584+0.000805954*B44)</f>
        <v>0.20273815690469088</v>
      </c>
      <c r="E44" t="e">
        <f>-C44/(8.3143*B44)</f>
        <v>#DIV/0!</v>
      </c>
      <c r="F44">
        <f>EXP(-D44*B45)</f>
        <v>1</v>
      </c>
      <c r="G44" t="e">
        <f>100*EXP(E44*F44)</f>
        <v>#DIV/0!</v>
      </c>
      <c r="H44" s="38" t="s">
        <v>68</v>
      </c>
      <c r="I44" s="55" t="s">
        <v>14</v>
      </c>
      <c r="J44" s="56">
        <f>IF($B44&lt;5,5,IF($B44&gt;25,26,$B44))</f>
        <v>5</v>
      </c>
      <c r="K44" s="56">
        <f>IF($GL$6&lt;0,0,IF($B44&gt;24,25,$B44))</f>
        <v>0</v>
      </c>
      <c r="L44" s="56">
        <f>IF($B44&lt;15,15,IF($B44&gt;35,38,$B44))</f>
        <v>15</v>
      </c>
      <c r="M44" s="56">
        <f>IF($B44&lt;9,9,IF($B44&gt;34,34,$B44))</f>
        <v>9</v>
      </c>
      <c r="N44" s="38" t="s">
        <v>69</v>
      </c>
      <c r="O44" s="51">
        <f>A44</f>
        <v>0</v>
      </c>
      <c r="P44" s="40" t="e">
        <f>IF(ROUND((EXP(19.48438-0.85016*G44/LN(G44)-0.000094*B44^3)),0)&gt;100,100,ROUND((EXP(19.48438-0.85016*G44/LN(G44)-0.000094*B44^3)),0))</f>
        <v>#DIV/0!</v>
      </c>
      <c r="Q44" s="46">
        <f>HLOOKUP(K44,GermMatrix,K45)</f>
        <v>100</v>
      </c>
      <c r="R44" s="46">
        <f>HLOOKUP(L44,InsectMatrix,L45)</f>
        <v>100</v>
      </c>
      <c r="S44" s="46">
        <f>HLOOKUP(M44,MiteMatrix,M45)</f>
        <v>100</v>
      </c>
      <c r="T44" s="52" t="str">
        <f>IF($O45="","",IF(P44&lt;100,IF(T43&gt;0,IF($O45/T43&gt;=1,1,$O45/T43),1),0))</f>
        <v/>
      </c>
      <c r="U44" s="52" t="str">
        <f>IF($O45="","",IF(Q44&lt;100,IF(U43&gt;0,IF($O45/U43&gt;=1,1,$O45/U43),1),0))</f>
        <v/>
      </c>
      <c r="V44" s="52" t="str">
        <f>IF($O45="","",IF(R44&lt;100,IF(V43&gt;0,IF($O45/V43&gt;=1,1,$O45/V43),1),0))</f>
        <v/>
      </c>
      <c r="W44" s="52" t="str">
        <f>IF($O45="","",IF(S44&lt;100,IF(W43&gt;0,IF($O45/W43&gt;=1,1,$O45/W43),1),0))</f>
        <v/>
      </c>
      <c r="X44" s="38" t="s">
        <v>16</v>
      </c>
    </row>
    <row r="45" spans="1:24" x14ac:dyDescent="0.2">
      <c r="A45" s="49"/>
      <c r="B45" s="69">
        <f>'Data Entry'!$D21</f>
        <v>0</v>
      </c>
      <c r="C45" s="43"/>
      <c r="D45" s="43"/>
      <c r="E45" s="43"/>
      <c r="F45" s="43"/>
      <c r="G45" s="43"/>
      <c r="H45" s="38"/>
      <c r="I45" s="55" t="s">
        <v>17</v>
      </c>
      <c r="J45" s="57">
        <f>VLOOKUP(IF($B45&lt;16,16,ROUNDUP($B45,0)),$T$118:$U$127,2)</f>
        <v>2</v>
      </c>
      <c r="K45" s="57">
        <f>VLOOKUP(IF($B45&lt;13,13,ROUNDUP($B45,0)),$V$118:$W$130,2)</f>
        <v>2</v>
      </c>
      <c r="L45" s="57">
        <f>VLOOKUP(IF($B45&lt;11,11,$B45),$X$118:$Y$168,2)</f>
        <v>2</v>
      </c>
      <c r="M45" s="57">
        <f>VLOOKUP(IF($B45&lt;13.9,13.9,$B45),$Z$118:$AA$209,2)</f>
        <v>2</v>
      </c>
      <c r="N45" s="38" t="s">
        <v>70</v>
      </c>
      <c r="O45" s="45" t="str">
        <f>IF(O46-O44&lt;1,"",O46-O44)</f>
        <v/>
      </c>
      <c r="P45" s="46"/>
      <c r="Q45" s="46"/>
      <c r="R45" s="46"/>
      <c r="S45" s="46"/>
      <c r="T45" s="47" t="str">
        <f>IF(T44="","",IF(P44&lt;100,IF(T44&lt;1%,(1-T44)*T44,(1-T44)*P46),P46))</f>
        <v/>
      </c>
      <c r="U45" s="47" t="str">
        <f>IF(U44="","",IF(Q44&lt;100,IF(U44&lt;1%,(1-U44)*U44,(1-U44)*Q46),Q46))</f>
        <v/>
      </c>
      <c r="V45" s="47" t="str">
        <f>IF(V44="","",IF(R44&lt;100,IF(V44&lt;1%,(1-V44)*V44,(1-V44)*R46),R46))</f>
        <v/>
      </c>
      <c r="W45" s="47" t="str">
        <f>IF(W44="","",IF(S44&lt;100,IF(W44&lt;1%,(1-W44)*W44,(1-W44)*S46),S46))</f>
        <v/>
      </c>
      <c r="X45" s="48" t="s">
        <v>19</v>
      </c>
    </row>
    <row r="46" spans="1:24" ht="12.75" x14ac:dyDescent="0.2">
      <c r="A46" s="33">
        <f>'Data Entry'!$B$22</f>
        <v>0</v>
      </c>
      <c r="B46" s="68">
        <f>'Data Entry'!$C22</f>
        <v>0</v>
      </c>
      <c r="C46">
        <f>133.937+62.1561*B46</f>
        <v>133.93700000000001</v>
      </c>
      <c r="D46">
        <f>EXP(-1.59584+0.000805954*B46)</f>
        <v>0.20273815690469088</v>
      </c>
      <c r="E46" t="e">
        <f>-C46/(8.3143*B46)</f>
        <v>#DIV/0!</v>
      </c>
      <c r="F46">
        <f>EXP(-D46*B47)</f>
        <v>1</v>
      </c>
      <c r="G46" t="e">
        <f>100*EXP(E46*F46)</f>
        <v>#DIV/0!</v>
      </c>
      <c r="H46" s="59" t="s">
        <v>71</v>
      </c>
      <c r="I46" s="60" t="s">
        <v>14</v>
      </c>
      <c r="J46" s="61">
        <f>IF($B46&lt;5,5,IF($B46&gt;25,26,$B46))</f>
        <v>5</v>
      </c>
      <c r="K46" s="61">
        <f>IF($GL$6&lt;0,0,IF($B46&gt;24,25,$B46))</f>
        <v>0</v>
      </c>
      <c r="L46" s="61">
        <f>IF($B46&lt;15,15,IF($B46&gt;35,38,$B46))</f>
        <v>15</v>
      </c>
      <c r="M46" s="61">
        <f>IF($B46&lt;9,9,IF($B46&gt;34,34,$B46))</f>
        <v>9</v>
      </c>
      <c r="N46" s="38" t="s">
        <v>72</v>
      </c>
      <c r="O46" s="51">
        <f>A46</f>
        <v>0</v>
      </c>
      <c r="P46" s="40" t="e">
        <f>IF(ROUND((EXP(19.48438-0.85016*G46/LN(G46)-0.000094*B46^3)),0)&gt;100,100,ROUND((EXP(19.48438-0.85016*G46/LN(G46)-0.000094*B46^3)),0))</f>
        <v>#DIV/0!</v>
      </c>
      <c r="Q46" s="46">
        <f>HLOOKUP(K46,GermMatrix,K47)</f>
        <v>100</v>
      </c>
      <c r="R46" s="46">
        <f>HLOOKUP(L46,InsectMatrix,L47)</f>
        <v>100</v>
      </c>
      <c r="S46" s="46">
        <f>HLOOKUP(M46,MiteMatrix,M47)</f>
        <v>100</v>
      </c>
      <c r="T46" s="52" t="str">
        <f>IF($O47="","",IF(P46&lt;100,IF(T45&gt;0,IF($O47/T45&gt;=1,1,$O47/T45),1),0))</f>
        <v/>
      </c>
      <c r="U46" s="52" t="str">
        <f>IF($O47="","",IF(Q46&lt;100,IF(U45&gt;0,IF($O47/U45&gt;=1,1,$O47/U45),1),0))</f>
        <v/>
      </c>
      <c r="V46" s="52" t="str">
        <f>IF($O47="","",IF(R46&lt;100,IF(V45&gt;0,IF($O47/V45&gt;=1,1,$O47/V45),1),0))</f>
        <v/>
      </c>
      <c r="W46" s="52" t="str">
        <f>IF($O47="","",IF(S46&lt;100,IF(W45&gt;0,IF($O47/W45&gt;=1,1,$O47/W45),1),0))</f>
        <v/>
      </c>
      <c r="X46" s="38" t="s">
        <v>16</v>
      </c>
    </row>
    <row r="47" spans="1:24" x14ac:dyDescent="0.2">
      <c r="A47" s="33"/>
      <c r="B47" s="69">
        <f>'Data Entry'!$D22</f>
        <v>0</v>
      </c>
      <c r="C47" s="43"/>
      <c r="D47" s="43"/>
      <c r="E47" s="43"/>
      <c r="F47" s="43"/>
      <c r="G47" s="43"/>
      <c r="H47" s="59"/>
      <c r="I47" s="60" t="s">
        <v>17</v>
      </c>
      <c r="J47" s="63">
        <f>VLOOKUP(IF($B47&lt;16,16,ROUNDUP($B47,0)),$T$118:$U$127,2)</f>
        <v>2</v>
      </c>
      <c r="K47" s="63">
        <f>VLOOKUP(IF($B47&lt;13,13,ROUNDUP($B47,0)),$V$118:$W$130,2)</f>
        <v>2</v>
      </c>
      <c r="L47" s="63">
        <f>VLOOKUP(IF($B47&lt;11,11,$B47),$X$118:$Y$168,2)</f>
        <v>2</v>
      </c>
      <c r="M47" s="63">
        <f>VLOOKUP(IF($B47&lt;13.9,13.9,$B47),$Z$118:$AA$209,2)</f>
        <v>2</v>
      </c>
      <c r="N47" s="38" t="s">
        <v>73</v>
      </c>
      <c r="O47" s="45" t="str">
        <f>IF(O48-O46&lt;1,"",O48-O46)</f>
        <v/>
      </c>
      <c r="P47" s="46"/>
      <c r="Q47" s="46"/>
      <c r="R47" s="46"/>
      <c r="S47" s="46"/>
      <c r="T47" s="47" t="str">
        <f>IF(T46="","",IF(P46&lt;100,IF(T46&lt;1%,(1-T46)*T46,(1-T46)*P48),P48))</f>
        <v/>
      </c>
      <c r="U47" s="47" t="str">
        <f>IF(U46="","",IF(Q46&lt;100,IF(U46&lt;1%,(1-U46)*U46,(1-U46)*Q48),Q48))</f>
        <v/>
      </c>
      <c r="V47" s="47" t="str">
        <f>IF(V46="","",IF(R46&lt;100,IF(V46&lt;1%,(1-V46)*V46,(1-V46)*R48),R48))</f>
        <v/>
      </c>
      <c r="W47" s="47" t="str">
        <f>IF(W46="","",IF(S46&lt;100,IF(W46&lt;1%,(1-W46)*W46,(1-W46)*S48),S48))</f>
        <v/>
      </c>
      <c r="X47" s="48" t="s">
        <v>19</v>
      </c>
    </row>
    <row r="48" spans="1:24" ht="12.75" x14ac:dyDescent="0.2">
      <c r="A48" s="33">
        <f>'Data Entry'!$B$23</f>
        <v>0</v>
      </c>
      <c r="B48" s="68">
        <f>'Data Entry'!$C23</f>
        <v>0</v>
      </c>
      <c r="C48">
        <f>133.937+62.1561*B48</f>
        <v>133.93700000000001</v>
      </c>
      <c r="D48">
        <f>EXP(-1.59584+0.000805954*B48)</f>
        <v>0.20273815690469088</v>
      </c>
      <c r="E48" t="e">
        <f>-C48/(8.3143*B48)</f>
        <v>#DIV/0!</v>
      </c>
      <c r="F48">
        <f>EXP(-D48*B49)</f>
        <v>1</v>
      </c>
      <c r="G48" t="e">
        <f>100*EXP(E48*F48)</f>
        <v>#DIV/0!</v>
      </c>
      <c r="H48" s="64" t="s">
        <v>74</v>
      </c>
      <c r="I48" s="65" t="s">
        <v>14</v>
      </c>
      <c r="J48" s="66">
        <f>IF($B48&lt;5,5,IF($B48&gt;25,26,$B48))</f>
        <v>5</v>
      </c>
      <c r="K48" s="66">
        <f>IF($GL$6&lt;0,0,IF($B48&gt;24,25,$B48))</f>
        <v>0</v>
      </c>
      <c r="L48" s="66">
        <f>IF($B48&lt;15,15,IF($B48&gt;35,38,$B48))</f>
        <v>15</v>
      </c>
      <c r="M48" s="66">
        <f>IF($B48&lt;9,9,IF($B48&gt;34,34,$B48))</f>
        <v>9</v>
      </c>
      <c r="N48" s="38" t="s">
        <v>75</v>
      </c>
      <c r="O48" s="51">
        <f>A48</f>
        <v>0</v>
      </c>
      <c r="P48" s="40" t="e">
        <f>IF(ROUND((EXP(19.48438-0.85016*G48/LN(G48)-0.000094*B48^3)),0)&gt;100,100,ROUND((EXP(19.48438-0.85016*G48/LN(G48)-0.000094*B48^3)),0))</f>
        <v>#DIV/0!</v>
      </c>
      <c r="Q48" s="46">
        <f>HLOOKUP(K48,GermMatrix,K49)</f>
        <v>100</v>
      </c>
      <c r="R48" s="46">
        <f>HLOOKUP(L48,InsectMatrix,L49)</f>
        <v>100</v>
      </c>
      <c r="S48" s="46">
        <f>HLOOKUP(M48,MiteMatrix,M49)</f>
        <v>100</v>
      </c>
      <c r="T48" s="52" t="str">
        <f>IF($O49="","",IF(P48&lt;100,IF(T47&gt;0,IF($O49/T47&gt;=1,1,$O49/T47),1),0))</f>
        <v/>
      </c>
      <c r="U48" s="52" t="str">
        <f>IF($O49="","",IF(Q48&lt;100,IF(U47&gt;0,IF($O49/U47&gt;=1,1,$O49/U47),1),0))</f>
        <v/>
      </c>
      <c r="V48" s="52" t="str">
        <f>IF($O49="","",IF(R48&lt;100,IF(V47&gt;0,IF($O49/V47&gt;=1,1,$O49/V47),1),0))</f>
        <v/>
      </c>
      <c r="W48" s="52" t="str">
        <f>IF($O49="","",IF(S48&lt;100,IF(W47&gt;0,IF($O49/W47&gt;=1,1,$O49/W47),1),0))</f>
        <v/>
      </c>
      <c r="X48" s="38" t="s">
        <v>16</v>
      </c>
    </row>
    <row r="49" spans="1:24" x14ac:dyDescent="0.2">
      <c r="A49" s="49"/>
      <c r="B49" s="69">
        <f>'Data Entry'!$D23</f>
        <v>0</v>
      </c>
      <c r="C49" s="43"/>
      <c r="D49" s="43"/>
      <c r="E49" s="43"/>
      <c r="F49" s="43"/>
      <c r="G49" s="43"/>
      <c r="H49" s="64"/>
      <c r="I49" s="65" t="s">
        <v>17</v>
      </c>
      <c r="J49" s="67">
        <f>VLOOKUP(IF($B49&lt;16,16,ROUNDUP($B49,0)),$T$118:$U$127,2)</f>
        <v>2</v>
      </c>
      <c r="K49" s="67">
        <f>VLOOKUP(IF($B49&lt;13,13,ROUNDUP($B49,0)),$V$118:$W$130,2)</f>
        <v>2</v>
      </c>
      <c r="L49" s="67">
        <f>VLOOKUP(IF($B49&lt;11,11,$B49),$X$118:$Y$168,2)</f>
        <v>2</v>
      </c>
      <c r="M49" s="67">
        <f>VLOOKUP(IF($B49&lt;13.9,13.9,$B49),$Z$118:$AA$209,2)</f>
        <v>2</v>
      </c>
      <c r="N49" s="38" t="s">
        <v>76</v>
      </c>
      <c r="O49" s="45" t="str">
        <f>IF(O50-O48&lt;1,"",O50-O48)</f>
        <v/>
      </c>
      <c r="P49" s="46"/>
      <c r="Q49" s="46"/>
      <c r="R49" s="46"/>
      <c r="S49" s="46"/>
      <c r="T49" s="47" t="str">
        <f>IF(T48="","",IF(P48&lt;100,IF(T48&lt;1%,(1-T48)*T48,(1-T48)*P50),P50))</f>
        <v/>
      </c>
      <c r="U49" s="47" t="str">
        <f>IF(U48="","",IF(Q48&lt;100,IF(U48&lt;1%,(1-U48)*U48,(1-U48)*Q50),Q50))</f>
        <v/>
      </c>
      <c r="V49" s="47" t="str">
        <f>IF(V48="","",IF(R48&lt;100,IF(V48&lt;1%,(1-V48)*V48,(1-V48)*R50),R50))</f>
        <v/>
      </c>
      <c r="W49" s="47" t="str">
        <f>IF(W48="","",IF(S48&lt;100,IF(W48&lt;1%,(1-W48)*W48,(1-W48)*S50),S50))</f>
        <v/>
      </c>
      <c r="X49" s="48" t="s">
        <v>19</v>
      </c>
    </row>
    <row r="50" spans="1:24" ht="12.75" x14ac:dyDescent="0.2">
      <c r="A50" s="33">
        <f>'Data Entry'!$B$24</f>
        <v>0</v>
      </c>
      <c r="B50" s="68">
        <f>'Data Entry'!$D24</f>
        <v>0</v>
      </c>
      <c r="C50">
        <f>133.937+62.1561*B50</f>
        <v>133.93700000000001</v>
      </c>
      <c r="D50">
        <f>EXP(-1.59584+0.000805954*B50)</f>
        <v>0.20273815690469088</v>
      </c>
      <c r="E50" t="e">
        <f>-C50/(8.3143*B50)</f>
        <v>#DIV/0!</v>
      </c>
      <c r="F50">
        <f>EXP(-D50*B51)</f>
        <v>1</v>
      </c>
      <c r="G50" t="e">
        <f>100*EXP(E50*F50)</f>
        <v>#DIV/0!</v>
      </c>
      <c r="H50" s="72" t="s">
        <v>91</v>
      </c>
      <c r="I50" s="73" t="s">
        <v>14</v>
      </c>
      <c r="J50" s="74">
        <f>IF($B50&lt;5,5,IF($B50&gt;25,26,$B50))</f>
        <v>5</v>
      </c>
      <c r="K50" s="74">
        <f>IF($GL$6&lt;0,0,IF($B50&gt;24,25,$B50))</f>
        <v>0</v>
      </c>
      <c r="L50" s="74">
        <f>IF($B50&lt;15,15,IF($B50&gt;35,38,$B50))</f>
        <v>15</v>
      </c>
      <c r="M50" s="74">
        <f>IF($B50&lt;9,9,IF($B50&gt;34,34,$B50))</f>
        <v>9</v>
      </c>
      <c r="N50" s="38" t="s">
        <v>92</v>
      </c>
      <c r="O50" s="51">
        <f>A50</f>
        <v>0</v>
      </c>
      <c r="P50" s="40" t="e">
        <f>IF(ROUND((EXP(19.48438-0.85016*G50/LN(G50)-0.000094*B50^3)),0)&gt;100,100,ROUND((EXP(19.48438-0.85016*G50/LN(G50)-0.000094*B50^3)),0))</f>
        <v>#DIV/0!</v>
      </c>
      <c r="Q50" s="46">
        <f>HLOOKUP(K50,GermMatrix,K51)</f>
        <v>100</v>
      </c>
      <c r="R50" s="46">
        <f>HLOOKUP(L50,InsectMatrix,L51)</f>
        <v>100</v>
      </c>
      <c r="S50" s="46">
        <f>HLOOKUP(M50,MiteMatrix,M51)</f>
        <v>100</v>
      </c>
      <c r="T50" s="52" t="str">
        <f>IF($O51="","",IF(P50&lt;100,IF(T49&gt;0,IF($O51/T49&gt;=1,1,$O51/T49),1),0))</f>
        <v/>
      </c>
      <c r="U50" s="52" t="str">
        <f>IF($O51="","",IF(Q50&lt;100,IF(U49&gt;0,IF($O51/U49&gt;=1,1,$O51/U49),1),0))</f>
        <v/>
      </c>
      <c r="V50" s="52" t="str">
        <f>IF($O51="","",IF(R50&lt;100,IF(V49&gt;0,IF($O51/V49&gt;=1,1,$O51/V49),1),0))</f>
        <v/>
      </c>
      <c r="W50" s="52" t="str">
        <f>IF($O51="","",IF(S50&lt;100,IF(W49&gt;0,IF($O51/W49&gt;=1,1,$O51/W49),1),0))</f>
        <v/>
      </c>
      <c r="X50" s="38" t="s">
        <v>16</v>
      </c>
    </row>
    <row r="51" spans="1:24" x14ac:dyDescent="0.2">
      <c r="A51" s="49"/>
      <c r="B51" s="69">
        <f>'Data Entry'!$D25</f>
        <v>0</v>
      </c>
      <c r="C51" s="43"/>
      <c r="D51" s="43"/>
      <c r="E51" s="43"/>
      <c r="F51" s="43"/>
      <c r="G51" s="43"/>
      <c r="H51" s="72"/>
      <c r="I51" s="73" t="s">
        <v>17</v>
      </c>
      <c r="J51" s="75">
        <f>VLOOKUP(IF($B51&lt;16,16,ROUNDUP($B51,0)),$T$118:$U$127,2)</f>
        <v>2</v>
      </c>
      <c r="K51" s="75">
        <f>VLOOKUP(IF($B51&lt;13,13,ROUNDUP($B51,0)),$V$118:$W$130,2)</f>
        <v>2</v>
      </c>
      <c r="L51" s="75">
        <f>VLOOKUP(IF($B51&lt;11,11,$B51),$X$118:$Y$168,2)</f>
        <v>2</v>
      </c>
      <c r="M51" s="75">
        <f>VLOOKUP(IF($B51&lt;13.9,13.9,$B51),$Z$118:$AA$209,2)</f>
        <v>2</v>
      </c>
      <c r="N51" s="38" t="s">
        <v>93</v>
      </c>
      <c r="O51" s="45" t="str">
        <f>IF(O52-O50&lt;1,"",O52-O50)</f>
        <v/>
      </c>
      <c r="P51" s="46"/>
      <c r="Q51" s="46"/>
      <c r="R51" s="46"/>
      <c r="S51" s="46"/>
      <c r="T51" s="47" t="str">
        <f>IF(T50="","",IF(P50&lt;100,IF(T50&lt;1%,(1-T50)*T50,(1-T50)*P52),P52))</f>
        <v/>
      </c>
      <c r="U51" s="47" t="str">
        <f>IF(U50="","",IF(Q50&lt;100,IF(U50&lt;1%,(1-U50)*U50,(1-U50)*Q52),Q52))</f>
        <v/>
      </c>
      <c r="V51" s="47" t="str">
        <f>IF(V50="","",IF(R50&lt;100,IF(V50&lt;1%,(1-V50)*V50,(1-V50)*R52),R52))</f>
        <v/>
      </c>
      <c r="W51" s="47" t="str">
        <f>IF(W50="","",IF(S50&lt;100,IF(W50&lt;1%,(1-W50)*W50,(1-W50)*S52),S52))</f>
        <v/>
      </c>
      <c r="X51" s="48" t="s">
        <v>19</v>
      </c>
    </row>
    <row r="96" spans="8:46" x14ac:dyDescent="0.2">
      <c r="H96" s="76" t="s">
        <v>2</v>
      </c>
      <c r="I96" s="77"/>
      <c r="J96" s="77"/>
      <c r="K96" s="77"/>
      <c r="L96" s="28"/>
      <c r="M96" s="77"/>
      <c r="N96" s="77"/>
      <c r="O96" s="77"/>
      <c r="P96" s="77"/>
      <c r="Q96" s="77"/>
      <c r="R96" s="77"/>
      <c r="S96" s="77"/>
      <c r="T96" s="76" t="s">
        <v>3</v>
      </c>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row>
    <row r="97" spans="8:73" x14ac:dyDescent="0.2">
      <c r="H97" s="77"/>
      <c r="I97" s="78" t="s">
        <v>77</v>
      </c>
      <c r="J97" s="78">
        <v>0</v>
      </c>
      <c r="K97" s="78">
        <v>1</v>
      </c>
      <c r="L97" s="78">
        <v>2</v>
      </c>
      <c r="M97" s="78">
        <v>3</v>
      </c>
      <c r="N97" s="78">
        <v>4</v>
      </c>
      <c r="O97" s="78">
        <v>5</v>
      </c>
      <c r="P97" s="78">
        <v>6</v>
      </c>
      <c r="Q97" s="78">
        <v>7</v>
      </c>
      <c r="R97" s="78">
        <v>8</v>
      </c>
      <c r="S97" s="78">
        <v>9</v>
      </c>
      <c r="T97" s="78">
        <v>10</v>
      </c>
      <c r="U97" s="78">
        <v>11</v>
      </c>
      <c r="V97" s="78">
        <v>12</v>
      </c>
      <c r="W97" s="78">
        <v>13</v>
      </c>
      <c r="X97" s="78">
        <v>14</v>
      </c>
      <c r="Y97" s="78">
        <v>15</v>
      </c>
      <c r="Z97" s="78">
        <v>16</v>
      </c>
      <c r="AA97" s="78">
        <v>17</v>
      </c>
      <c r="AB97" s="78">
        <v>18</v>
      </c>
      <c r="AC97" s="78">
        <v>19</v>
      </c>
      <c r="AD97" s="78">
        <v>20</v>
      </c>
      <c r="AE97" s="78">
        <v>21</v>
      </c>
      <c r="AF97" s="78">
        <v>22</v>
      </c>
      <c r="AG97" s="78">
        <v>23</v>
      </c>
      <c r="AH97" s="78">
        <v>24</v>
      </c>
      <c r="AI97" s="78">
        <v>25</v>
      </c>
      <c r="AJ97" s="78">
        <v>26</v>
      </c>
      <c r="AK97" s="78">
        <v>27</v>
      </c>
      <c r="AL97" s="78">
        <v>28</v>
      </c>
      <c r="AM97" s="78">
        <v>29</v>
      </c>
      <c r="AN97" s="78">
        <v>30</v>
      </c>
      <c r="AO97" s="78">
        <v>31</v>
      </c>
      <c r="AP97" s="78">
        <v>32</v>
      </c>
      <c r="AQ97" s="78">
        <v>33</v>
      </c>
      <c r="AR97" s="78">
        <v>34</v>
      </c>
      <c r="AS97" s="78">
        <v>35</v>
      </c>
      <c r="AT97" s="78">
        <v>36</v>
      </c>
      <c r="AU97" s="77"/>
      <c r="AV97" s="77"/>
      <c r="AW97" s="79" t="s">
        <v>78</v>
      </c>
      <c r="AX97" s="79">
        <v>15</v>
      </c>
      <c r="AY97" s="79">
        <v>16</v>
      </c>
      <c r="AZ97" s="79">
        <v>17</v>
      </c>
      <c r="BA97" s="79">
        <v>18</v>
      </c>
      <c r="BB97" s="79">
        <v>19</v>
      </c>
      <c r="BC97" s="79">
        <v>20</v>
      </c>
      <c r="BD97" s="79">
        <v>21</v>
      </c>
      <c r="BE97" s="79">
        <v>22</v>
      </c>
      <c r="BF97" s="79">
        <v>23</v>
      </c>
      <c r="BG97" s="79">
        <v>24</v>
      </c>
      <c r="BH97" s="79">
        <v>25</v>
      </c>
      <c r="BI97" s="79">
        <v>26</v>
      </c>
      <c r="BJ97" s="79">
        <v>27</v>
      </c>
      <c r="BK97" s="79">
        <v>28</v>
      </c>
      <c r="BL97" s="79">
        <v>29</v>
      </c>
      <c r="BM97" s="79">
        <v>30</v>
      </c>
      <c r="BN97" s="79">
        <v>31</v>
      </c>
      <c r="BO97" s="79">
        <v>32</v>
      </c>
      <c r="BP97" s="79">
        <v>33</v>
      </c>
      <c r="BQ97" s="79">
        <v>34</v>
      </c>
      <c r="BR97" s="79">
        <v>35</v>
      </c>
      <c r="BS97" s="79">
        <v>36</v>
      </c>
      <c r="BT97" s="79">
        <v>37</v>
      </c>
      <c r="BU97" s="79">
        <v>38</v>
      </c>
    </row>
    <row r="98" spans="8:73" x14ac:dyDescent="0.2">
      <c r="H98" s="80" t="s">
        <v>79</v>
      </c>
      <c r="I98" s="81">
        <v>13</v>
      </c>
      <c r="J98" s="80">
        <v>100</v>
      </c>
      <c r="K98" s="80">
        <v>100</v>
      </c>
      <c r="L98" s="80">
        <v>100</v>
      </c>
      <c r="M98" s="80">
        <v>100</v>
      </c>
      <c r="N98" s="80">
        <v>100</v>
      </c>
      <c r="O98" s="80">
        <v>100</v>
      </c>
      <c r="P98" s="80">
        <v>100</v>
      </c>
      <c r="Q98" s="80">
        <v>100</v>
      </c>
      <c r="R98" s="80">
        <v>100</v>
      </c>
      <c r="S98" s="80">
        <v>100</v>
      </c>
      <c r="T98" s="80">
        <v>100</v>
      </c>
      <c r="U98" s="80">
        <v>100</v>
      </c>
      <c r="V98" s="80">
        <v>100</v>
      </c>
      <c r="W98" s="80">
        <v>100</v>
      </c>
      <c r="X98" s="80">
        <v>100</v>
      </c>
      <c r="Y98" s="80">
        <v>100</v>
      </c>
      <c r="Z98" s="80">
        <v>100</v>
      </c>
      <c r="AA98" s="80">
        <v>100</v>
      </c>
      <c r="AB98" s="80">
        <v>100</v>
      </c>
      <c r="AC98" s="80">
        <v>100</v>
      </c>
      <c r="AD98" s="80">
        <v>100</v>
      </c>
      <c r="AE98" s="80">
        <v>100</v>
      </c>
      <c r="AF98" s="80">
        <v>100</v>
      </c>
      <c r="AG98" s="80">
        <v>100</v>
      </c>
      <c r="AH98" s="80">
        <v>100</v>
      </c>
      <c r="AI98" s="80">
        <v>100</v>
      </c>
      <c r="AJ98" s="80">
        <v>100</v>
      </c>
      <c r="AK98" s="80">
        <v>100</v>
      </c>
      <c r="AL98" s="80">
        <v>100</v>
      </c>
      <c r="AM98" s="80">
        <v>100</v>
      </c>
      <c r="AN98" s="80">
        <v>100</v>
      </c>
      <c r="AO98" s="80">
        <v>100</v>
      </c>
      <c r="AP98" s="80">
        <v>100</v>
      </c>
      <c r="AQ98" s="80">
        <v>100</v>
      </c>
      <c r="AR98" s="80">
        <v>100</v>
      </c>
      <c r="AS98" s="80">
        <v>100</v>
      </c>
      <c r="AT98" s="80">
        <v>2</v>
      </c>
      <c r="AU98" s="77"/>
      <c r="AV98" s="80" t="s">
        <v>79</v>
      </c>
      <c r="AW98" s="82">
        <v>11</v>
      </c>
      <c r="AX98" s="80">
        <v>100</v>
      </c>
      <c r="AY98" s="80">
        <v>79</v>
      </c>
      <c r="AZ98" s="80">
        <v>79</v>
      </c>
      <c r="BA98" s="80">
        <v>79</v>
      </c>
      <c r="BB98" s="80">
        <v>79</v>
      </c>
      <c r="BC98" s="80">
        <v>79</v>
      </c>
      <c r="BD98" s="80">
        <v>65</v>
      </c>
      <c r="BE98" s="80">
        <v>65</v>
      </c>
      <c r="BF98" s="80">
        <v>65</v>
      </c>
      <c r="BG98" s="80">
        <v>46</v>
      </c>
      <c r="BH98" s="80">
        <v>46</v>
      </c>
      <c r="BI98" s="80">
        <v>35</v>
      </c>
      <c r="BJ98" s="80">
        <v>35</v>
      </c>
      <c r="BK98" s="80">
        <v>35</v>
      </c>
      <c r="BL98" s="80">
        <v>33</v>
      </c>
      <c r="BM98" s="80">
        <v>33</v>
      </c>
      <c r="BN98" s="80">
        <v>23</v>
      </c>
      <c r="BO98" s="80">
        <v>23</v>
      </c>
      <c r="BP98" s="80">
        <v>23</v>
      </c>
      <c r="BQ98" s="80">
        <v>23</v>
      </c>
      <c r="BR98" s="80">
        <v>23</v>
      </c>
      <c r="BS98" s="80">
        <v>23</v>
      </c>
      <c r="BT98" s="80">
        <v>23</v>
      </c>
      <c r="BU98" s="80">
        <v>23</v>
      </c>
    </row>
    <row r="99" spans="8:73" x14ac:dyDescent="0.2">
      <c r="H99" s="80"/>
      <c r="I99" s="82">
        <v>14</v>
      </c>
      <c r="J99" s="80">
        <v>100</v>
      </c>
      <c r="K99" s="80">
        <v>100</v>
      </c>
      <c r="L99" s="80">
        <v>100</v>
      </c>
      <c r="M99" s="80">
        <v>100</v>
      </c>
      <c r="N99" s="80">
        <v>100</v>
      </c>
      <c r="O99" s="80">
        <v>100</v>
      </c>
      <c r="P99" s="80">
        <v>100</v>
      </c>
      <c r="Q99" s="80">
        <v>100</v>
      </c>
      <c r="R99" s="80">
        <v>100</v>
      </c>
      <c r="S99" s="80">
        <v>100</v>
      </c>
      <c r="T99" s="80">
        <v>100</v>
      </c>
      <c r="U99" s="80">
        <v>100</v>
      </c>
      <c r="V99" s="80">
        <v>100</v>
      </c>
      <c r="W99" s="80">
        <v>100</v>
      </c>
      <c r="X99" s="80">
        <v>100</v>
      </c>
      <c r="Y99" s="80">
        <v>100</v>
      </c>
      <c r="Z99" s="80">
        <v>100</v>
      </c>
      <c r="AA99" s="80">
        <v>100</v>
      </c>
      <c r="AB99" s="80">
        <v>100</v>
      </c>
      <c r="AC99" s="80">
        <v>100</v>
      </c>
      <c r="AD99" s="80">
        <v>100</v>
      </c>
      <c r="AE99" s="80">
        <v>100</v>
      </c>
      <c r="AF99" s="80">
        <v>100</v>
      </c>
      <c r="AG99" s="80">
        <v>100</v>
      </c>
      <c r="AH99" s="80">
        <v>100</v>
      </c>
      <c r="AI99" s="80">
        <v>100</v>
      </c>
      <c r="AJ99" s="80">
        <v>70</v>
      </c>
      <c r="AK99" s="80">
        <v>70</v>
      </c>
      <c r="AL99" s="80">
        <v>70</v>
      </c>
      <c r="AM99" s="80">
        <v>70</v>
      </c>
      <c r="AN99" s="80">
        <v>70</v>
      </c>
      <c r="AO99" s="80">
        <v>35</v>
      </c>
      <c r="AP99" s="80">
        <v>35</v>
      </c>
      <c r="AQ99" s="80">
        <v>35</v>
      </c>
      <c r="AR99" s="80">
        <v>35</v>
      </c>
      <c r="AS99" s="80">
        <v>35</v>
      </c>
      <c r="AT99" s="80">
        <v>2</v>
      </c>
      <c r="AU99" s="77"/>
      <c r="AV99" s="80"/>
      <c r="AW99" s="82">
        <v>12.4</v>
      </c>
      <c r="AX99" s="80">
        <v>100</v>
      </c>
      <c r="AY99" s="80">
        <v>67</v>
      </c>
      <c r="AZ99" s="80">
        <v>67</v>
      </c>
      <c r="BA99" s="80">
        <v>67</v>
      </c>
      <c r="BB99" s="80">
        <v>67</v>
      </c>
      <c r="BC99" s="80">
        <v>67</v>
      </c>
      <c r="BD99" s="80">
        <v>59</v>
      </c>
      <c r="BE99" s="80">
        <v>59</v>
      </c>
      <c r="BF99" s="80">
        <v>59</v>
      </c>
      <c r="BG99" s="80">
        <v>41</v>
      </c>
      <c r="BH99" s="80">
        <v>41</v>
      </c>
      <c r="BI99" s="80">
        <v>35</v>
      </c>
      <c r="BJ99" s="80">
        <v>35</v>
      </c>
      <c r="BK99" s="80">
        <v>35</v>
      </c>
      <c r="BL99" s="80">
        <v>30</v>
      </c>
      <c r="BM99" s="80">
        <v>30</v>
      </c>
      <c r="BN99" s="80">
        <v>22</v>
      </c>
      <c r="BO99" s="80">
        <v>22</v>
      </c>
      <c r="BP99" s="80">
        <v>22</v>
      </c>
      <c r="BQ99" s="80">
        <v>22</v>
      </c>
      <c r="BR99" s="80">
        <v>22</v>
      </c>
      <c r="BS99" s="80">
        <v>22</v>
      </c>
      <c r="BT99" s="80">
        <v>22</v>
      </c>
      <c r="BU99" s="80">
        <v>22</v>
      </c>
    </row>
    <row r="100" spans="8:73" x14ac:dyDescent="0.2">
      <c r="H100" s="80"/>
      <c r="I100" s="82">
        <v>16</v>
      </c>
      <c r="J100" s="80">
        <v>100</v>
      </c>
      <c r="K100" s="80">
        <v>100</v>
      </c>
      <c r="L100" s="80">
        <v>100</v>
      </c>
      <c r="M100" s="80">
        <v>100</v>
      </c>
      <c r="N100" s="80">
        <v>100</v>
      </c>
      <c r="O100" s="80">
        <v>100</v>
      </c>
      <c r="P100" s="80">
        <v>100</v>
      </c>
      <c r="Q100" s="80">
        <v>100</v>
      </c>
      <c r="R100" s="80">
        <v>100</v>
      </c>
      <c r="S100" s="80">
        <v>100</v>
      </c>
      <c r="T100" s="80">
        <v>100</v>
      </c>
      <c r="U100" s="80">
        <v>100</v>
      </c>
      <c r="V100" s="80">
        <v>100</v>
      </c>
      <c r="W100" s="80">
        <v>100</v>
      </c>
      <c r="X100" s="80">
        <v>100</v>
      </c>
      <c r="Y100" s="80">
        <v>100</v>
      </c>
      <c r="Z100" s="80">
        <v>100</v>
      </c>
      <c r="AA100" s="80">
        <v>100</v>
      </c>
      <c r="AB100" s="80">
        <v>100</v>
      </c>
      <c r="AC100" s="80">
        <v>100</v>
      </c>
      <c r="AD100" s="80">
        <v>100</v>
      </c>
      <c r="AE100" s="80">
        <v>42</v>
      </c>
      <c r="AF100" s="80">
        <v>42</v>
      </c>
      <c r="AG100" s="80">
        <v>42</v>
      </c>
      <c r="AH100" s="80">
        <v>42</v>
      </c>
      <c r="AI100" s="80">
        <v>42</v>
      </c>
      <c r="AJ100" s="80">
        <v>28</v>
      </c>
      <c r="AK100" s="80">
        <v>28</v>
      </c>
      <c r="AL100" s="80">
        <v>28</v>
      </c>
      <c r="AM100" s="80">
        <v>28</v>
      </c>
      <c r="AN100" s="80">
        <v>28</v>
      </c>
      <c r="AO100" s="80">
        <v>10</v>
      </c>
      <c r="AP100" s="80">
        <v>10</v>
      </c>
      <c r="AQ100" s="80">
        <v>10</v>
      </c>
      <c r="AR100" s="80">
        <v>10</v>
      </c>
      <c r="AS100" s="80">
        <v>10</v>
      </c>
      <c r="AT100" s="80">
        <v>2</v>
      </c>
      <c r="AU100" s="77"/>
      <c r="AV100" s="80"/>
      <c r="AW100" s="82">
        <v>13.9</v>
      </c>
      <c r="AX100" s="80">
        <v>100</v>
      </c>
      <c r="AY100" s="80">
        <v>61</v>
      </c>
      <c r="AZ100" s="80">
        <v>61</v>
      </c>
      <c r="BA100" s="80">
        <v>61</v>
      </c>
      <c r="BB100" s="80">
        <v>61</v>
      </c>
      <c r="BC100" s="80">
        <v>61</v>
      </c>
      <c r="BD100" s="80">
        <v>55</v>
      </c>
      <c r="BE100" s="80">
        <v>55</v>
      </c>
      <c r="BF100" s="80">
        <v>55</v>
      </c>
      <c r="BG100" s="80">
        <v>37</v>
      </c>
      <c r="BH100" s="80">
        <v>37</v>
      </c>
      <c r="BI100" s="80">
        <v>31</v>
      </c>
      <c r="BJ100" s="80">
        <v>31</v>
      </c>
      <c r="BK100" s="80">
        <v>31</v>
      </c>
      <c r="BL100" s="80">
        <v>28</v>
      </c>
      <c r="BM100" s="80">
        <v>28</v>
      </c>
      <c r="BN100" s="80">
        <v>21</v>
      </c>
      <c r="BO100" s="80">
        <v>21</v>
      </c>
      <c r="BP100" s="80">
        <v>21</v>
      </c>
      <c r="BQ100" s="80">
        <v>21</v>
      </c>
      <c r="BR100" s="80">
        <v>21</v>
      </c>
      <c r="BS100" s="80">
        <v>21</v>
      </c>
      <c r="BT100" s="80">
        <v>21</v>
      </c>
      <c r="BU100" s="80">
        <v>21</v>
      </c>
    </row>
    <row r="101" spans="8:73" x14ac:dyDescent="0.2">
      <c r="H101" s="80"/>
      <c r="I101" s="82">
        <v>18</v>
      </c>
      <c r="J101" s="80">
        <v>100</v>
      </c>
      <c r="K101" s="80">
        <v>100</v>
      </c>
      <c r="L101" s="80">
        <v>100</v>
      </c>
      <c r="M101" s="80">
        <v>100</v>
      </c>
      <c r="N101" s="80">
        <v>100</v>
      </c>
      <c r="O101" s="80">
        <v>100</v>
      </c>
      <c r="P101" s="80">
        <v>100</v>
      </c>
      <c r="Q101" s="80">
        <v>100</v>
      </c>
      <c r="R101" s="80">
        <v>100</v>
      </c>
      <c r="S101" s="80">
        <v>100</v>
      </c>
      <c r="T101" s="80">
        <v>100</v>
      </c>
      <c r="U101" s="80">
        <v>70</v>
      </c>
      <c r="V101" s="80">
        <v>70</v>
      </c>
      <c r="W101" s="80">
        <v>70</v>
      </c>
      <c r="X101" s="80">
        <v>70</v>
      </c>
      <c r="Y101" s="80">
        <v>70</v>
      </c>
      <c r="Z101" s="80">
        <v>42</v>
      </c>
      <c r="AA101" s="80">
        <v>42</v>
      </c>
      <c r="AB101" s="80">
        <v>42</v>
      </c>
      <c r="AC101" s="80">
        <v>42</v>
      </c>
      <c r="AD101" s="80">
        <v>42</v>
      </c>
      <c r="AE101" s="80">
        <v>17</v>
      </c>
      <c r="AF101" s="80">
        <v>17</v>
      </c>
      <c r="AG101" s="80">
        <v>17</v>
      </c>
      <c r="AH101" s="80">
        <v>17</v>
      </c>
      <c r="AI101" s="80">
        <v>17</v>
      </c>
      <c r="AJ101" s="80">
        <v>10</v>
      </c>
      <c r="AK101" s="80">
        <v>10</v>
      </c>
      <c r="AL101" s="80">
        <v>10</v>
      </c>
      <c r="AM101" s="80">
        <v>10</v>
      </c>
      <c r="AN101" s="80">
        <v>10</v>
      </c>
      <c r="AO101" s="80">
        <v>2</v>
      </c>
      <c r="AP101" s="80">
        <v>2</v>
      </c>
      <c r="AQ101" s="80">
        <v>2</v>
      </c>
      <c r="AR101" s="80">
        <v>2</v>
      </c>
      <c r="AS101" s="80">
        <v>2</v>
      </c>
      <c r="AT101" s="80">
        <v>2</v>
      </c>
      <c r="AU101" s="77"/>
      <c r="AV101" s="80"/>
      <c r="AW101" s="82">
        <v>15.6</v>
      </c>
      <c r="AX101" s="80">
        <v>100</v>
      </c>
      <c r="AY101" s="80">
        <v>56</v>
      </c>
      <c r="AZ101" s="80">
        <v>56</v>
      </c>
      <c r="BA101" s="80">
        <v>56</v>
      </c>
      <c r="BB101" s="80">
        <v>56</v>
      </c>
      <c r="BC101" s="80">
        <v>56</v>
      </c>
      <c r="BD101" s="80">
        <v>51</v>
      </c>
      <c r="BE101" s="80">
        <v>51</v>
      </c>
      <c r="BF101" s="80">
        <v>51</v>
      </c>
      <c r="BG101" s="80">
        <v>37</v>
      </c>
      <c r="BH101" s="80">
        <v>37</v>
      </c>
      <c r="BI101" s="80">
        <v>29</v>
      </c>
      <c r="BJ101" s="80">
        <v>29</v>
      </c>
      <c r="BK101" s="80">
        <v>29</v>
      </c>
      <c r="BL101" s="80">
        <v>26</v>
      </c>
      <c r="BM101" s="80">
        <v>26</v>
      </c>
      <c r="BN101" s="80">
        <v>20</v>
      </c>
      <c r="BO101" s="80">
        <v>20</v>
      </c>
      <c r="BP101" s="80">
        <v>20</v>
      </c>
      <c r="BQ101" s="80">
        <v>20</v>
      </c>
      <c r="BR101" s="80">
        <v>20</v>
      </c>
      <c r="BS101" s="80">
        <v>20</v>
      </c>
      <c r="BT101" s="80">
        <v>20</v>
      </c>
      <c r="BU101" s="80">
        <v>20</v>
      </c>
    </row>
    <row r="102" spans="8:73" x14ac:dyDescent="0.2">
      <c r="H102" s="80"/>
      <c r="I102" s="82">
        <v>20</v>
      </c>
      <c r="J102" s="80">
        <v>100</v>
      </c>
      <c r="K102" s="80">
        <v>100</v>
      </c>
      <c r="L102" s="80">
        <v>100</v>
      </c>
      <c r="M102" s="80">
        <v>100</v>
      </c>
      <c r="N102" s="80">
        <v>100</v>
      </c>
      <c r="O102" s="80">
        <v>100</v>
      </c>
      <c r="P102" s="80">
        <v>42</v>
      </c>
      <c r="Q102" s="80">
        <v>42</v>
      </c>
      <c r="R102" s="80">
        <v>42</v>
      </c>
      <c r="S102" s="80">
        <v>42</v>
      </c>
      <c r="T102" s="80">
        <v>42</v>
      </c>
      <c r="U102" s="80">
        <v>32</v>
      </c>
      <c r="V102" s="80">
        <v>32</v>
      </c>
      <c r="W102" s="80">
        <v>32</v>
      </c>
      <c r="X102" s="80">
        <v>32</v>
      </c>
      <c r="Y102" s="80">
        <v>32</v>
      </c>
      <c r="Z102" s="80">
        <v>16</v>
      </c>
      <c r="AA102" s="80">
        <v>16</v>
      </c>
      <c r="AB102" s="80">
        <v>16</v>
      </c>
      <c r="AC102" s="80">
        <v>16</v>
      </c>
      <c r="AD102" s="80">
        <v>16</v>
      </c>
      <c r="AE102" s="80">
        <v>7</v>
      </c>
      <c r="AF102" s="80">
        <v>7</v>
      </c>
      <c r="AG102" s="80">
        <v>7</v>
      </c>
      <c r="AH102" s="80">
        <v>7</v>
      </c>
      <c r="AI102" s="80">
        <v>7</v>
      </c>
      <c r="AJ102" s="80">
        <v>2</v>
      </c>
      <c r="AK102" s="80">
        <v>2</v>
      </c>
      <c r="AL102" s="80">
        <v>2</v>
      </c>
      <c r="AM102" s="80">
        <v>2</v>
      </c>
      <c r="AN102" s="80">
        <v>2</v>
      </c>
      <c r="AO102" s="80">
        <v>2</v>
      </c>
      <c r="AP102" s="80">
        <v>2</v>
      </c>
      <c r="AQ102" s="80">
        <v>2</v>
      </c>
      <c r="AR102" s="80">
        <v>2</v>
      </c>
      <c r="AS102" s="80">
        <v>2</v>
      </c>
      <c r="AT102" s="80">
        <v>2</v>
      </c>
      <c r="AU102" s="77"/>
      <c r="AV102" s="80"/>
      <c r="AW102" s="82">
        <v>16</v>
      </c>
      <c r="AX102" s="80">
        <v>100</v>
      </c>
      <c r="AY102" s="80">
        <v>52</v>
      </c>
      <c r="AZ102" s="80">
        <v>52</v>
      </c>
      <c r="BA102" s="80">
        <v>52</v>
      </c>
      <c r="BB102" s="80">
        <v>52</v>
      </c>
      <c r="BC102" s="80">
        <v>52</v>
      </c>
      <c r="BD102" s="80">
        <v>50</v>
      </c>
      <c r="BE102" s="80">
        <v>50</v>
      </c>
      <c r="BF102" s="80">
        <v>50</v>
      </c>
      <c r="BG102" s="80">
        <v>36</v>
      </c>
      <c r="BH102" s="80">
        <v>36</v>
      </c>
      <c r="BI102" s="80">
        <v>27</v>
      </c>
      <c r="BJ102" s="80">
        <v>27</v>
      </c>
      <c r="BK102" s="80">
        <v>27</v>
      </c>
      <c r="BL102" s="80">
        <v>24</v>
      </c>
      <c r="BM102" s="80">
        <v>24</v>
      </c>
      <c r="BN102" s="80">
        <v>20</v>
      </c>
      <c r="BO102" s="80">
        <v>20</v>
      </c>
      <c r="BP102" s="80">
        <v>20</v>
      </c>
      <c r="BQ102" s="80">
        <v>20</v>
      </c>
      <c r="BR102" s="80">
        <v>20</v>
      </c>
      <c r="BS102" s="80">
        <v>20</v>
      </c>
      <c r="BT102" s="80">
        <v>20</v>
      </c>
      <c r="BU102" s="80">
        <v>20</v>
      </c>
    </row>
    <row r="103" spans="8:73" x14ac:dyDescent="0.2">
      <c r="H103" s="80"/>
      <c r="I103" s="82">
        <v>22</v>
      </c>
      <c r="J103" s="80">
        <v>100</v>
      </c>
      <c r="K103" s="80">
        <v>49</v>
      </c>
      <c r="L103" s="80">
        <v>49</v>
      </c>
      <c r="M103" s="80">
        <v>49</v>
      </c>
      <c r="N103" s="80">
        <v>49</v>
      </c>
      <c r="O103" s="80">
        <v>49</v>
      </c>
      <c r="P103" s="80">
        <v>17</v>
      </c>
      <c r="Q103" s="80">
        <v>17</v>
      </c>
      <c r="R103" s="80">
        <v>17</v>
      </c>
      <c r="S103" s="80">
        <v>17</v>
      </c>
      <c r="T103" s="80">
        <v>17</v>
      </c>
      <c r="U103" s="80">
        <v>10</v>
      </c>
      <c r="V103" s="80">
        <v>10</v>
      </c>
      <c r="W103" s="80">
        <v>10</v>
      </c>
      <c r="X103" s="80">
        <v>10</v>
      </c>
      <c r="Y103" s="80">
        <v>10</v>
      </c>
      <c r="Z103" s="80">
        <v>7</v>
      </c>
      <c r="AA103" s="80">
        <v>7</v>
      </c>
      <c r="AB103" s="80">
        <v>7</v>
      </c>
      <c r="AC103" s="80">
        <v>7</v>
      </c>
      <c r="AD103" s="80">
        <v>7</v>
      </c>
      <c r="AE103" s="80">
        <v>2</v>
      </c>
      <c r="AF103" s="80">
        <v>2</v>
      </c>
      <c r="AG103" s="80">
        <v>2</v>
      </c>
      <c r="AH103" s="80">
        <v>2</v>
      </c>
      <c r="AI103" s="80">
        <v>2</v>
      </c>
      <c r="AJ103" s="80">
        <v>2</v>
      </c>
      <c r="AK103" s="80">
        <v>2</v>
      </c>
      <c r="AL103" s="80">
        <v>2</v>
      </c>
      <c r="AM103" s="80">
        <v>2</v>
      </c>
      <c r="AN103" s="80">
        <v>2</v>
      </c>
      <c r="AO103" s="80">
        <v>2</v>
      </c>
      <c r="AP103" s="80">
        <v>2</v>
      </c>
      <c r="AQ103" s="80">
        <v>2</v>
      </c>
      <c r="AR103" s="80">
        <v>2</v>
      </c>
      <c r="AS103" s="80">
        <v>2</v>
      </c>
      <c r="AT103" s="80">
        <v>2</v>
      </c>
      <c r="AU103" s="77"/>
      <c r="AV103" s="80"/>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row>
    <row r="104" spans="8:73" x14ac:dyDescent="0.2">
      <c r="H104" s="80"/>
      <c r="I104" s="82">
        <v>24</v>
      </c>
      <c r="J104" s="80">
        <v>100</v>
      </c>
      <c r="K104" s="80">
        <v>14</v>
      </c>
      <c r="L104" s="80">
        <v>14</v>
      </c>
      <c r="M104" s="80">
        <v>14</v>
      </c>
      <c r="N104" s="80">
        <v>14</v>
      </c>
      <c r="O104" s="80">
        <v>14</v>
      </c>
      <c r="P104" s="80">
        <v>7</v>
      </c>
      <c r="Q104" s="80">
        <v>7</v>
      </c>
      <c r="R104" s="80">
        <v>7</v>
      </c>
      <c r="S104" s="80">
        <v>7</v>
      </c>
      <c r="T104" s="80">
        <v>7</v>
      </c>
      <c r="U104" s="80">
        <v>2</v>
      </c>
      <c r="V104" s="80">
        <v>2</v>
      </c>
      <c r="W104" s="80">
        <v>2</v>
      </c>
      <c r="X104" s="80">
        <v>2</v>
      </c>
      <c r="Y104" s="80">
        <v>2</v>
      </c>
      <c r="Z104" s="80">
        <v>2</v>
      </c>
      <c r="AA104" s="80">
        <v>2</v>
      </c>
      <c r="AB104" s="80">
        <v>2</v>
      </c>
      <c r="AC104" s="80">
        <v>2</v>
      </c>
      <c r="AD104" s="80">
        <v>2</v>
      </c>
      <c r="AE104" s="80">
        <v>2</v>
      </c>
      <c r="AF104" s="80">
        <v>2</v>
      </c>
      <c r="AG104" s="80">
        <v>2</v>
      </c>
      <c r="AH104" s="80">
        <v>2</v>
      </c>
      <c r="AI104" s="80">
        <v>2</v>
      </c>
      <c r="AJ104" s="80">
        <v>2</v>
      </c>
      <c r="AK104" s="80">
        <v>2</v>
      </c>
      <c r="AL104" s="80">
        <v>2</v>
      </c>
      <c r="AM104" s="80">
        <v>2</v>
      </c>
      <c r="AN104" s="80">
        <v>2</v>
      </c>
      <c r="AO104" s="80">
        <v>2</v>
      </c>
      <c r="AP104" s="80">
        <v>2</v>
      </c>
      <c r="AQ104" s="80">
        <v>2</v>
      </c>
      <c r="AR104" s="80">
        <v>2</v>
      </c>
      <c r="AS104" s="80">
        <v>2</v>
      </c>
      <c r="AT104" s="80">
        <v>2</v>
      </c>
      <c r="AU104" s="77"/>
      <c r="AV104" s="80"/>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row>
    <row r="105" spans="8:73" x14ac:dyDescent="0.2">
      <c r="H105" s="77"/>
      <c r="I105" s="81">
        <v>25</v>
      </c>
      <c r="J105" s="80">
        <v>100</v>
      </c>
      <c r="K105" s="80">
        <v>7</v>
      </c>
      <c r="L105" s="80">
        <v>7</v>
      </c>
      <c r="M105" s="80">
        <v>7</v>
      </c>
      <c r="N105" s="80">
        <v>7</v>
      </c>
      <c r="O105" s="80">
        <v>7</v>
      </c>
      <c r="P105" s="80">
        <v>2</v>
      </c>
      <c r="Q105" s="80">
        <v>2</v>
      </c>
      <c r="R105" s="80">
        <v>2</v>
      </c>
      <c r="S105" s="80">
        <v>2</v>
      </c>
      <c r="T105" s="80">
        <v>2</v>
      </c>
      <c r="U105" s="80">
        <v>2</v>
      </c>
      <c r="V105" s="80">
        <v>2</v>
      </c>
      <c r="W105" s="80">
        <v>2</v>
      </c>
      <c r="X105" s="80">
        <v>2</v>
      </c>
      <c r="Y105" s="80">
        <v>2</v>
      </c>
      <c r="Z105" s="80">
        <v>2</v>
      </c>
      <c r="AA105" s="80">
        <v>2</v>
      </c>
      <c r="AB105" s="80">
        <v>2</v>
      </c>
      <c r="AC105" s="80">
        <v>2</v>
      </c>
      <c r="AD105" s="80">
        <v>2</v>
      </c>
      <c r="AE105" s="80">
        <v>2</v>
      </c>
      <c r="AF105" s="80">
        <v>2</v>
      </c>
      <c r="AG105" s="80">
        <v>2</v>
      </c>
      <c r="AH105" s="80">
        <v>2</v>
      </c>
      <c r="AI105" s="80">
        <v>2</v>
      </c>
      <c r="AJ105" s="80">
        <v>2</v>
      </c>
      <c r="AK105" s="80">
        <v>2</v>
      </c>
      <c r="AL105" s="80">
        <v>2</v>
      </c>
      <c r="AM105" s="80">
        <v>2</v>
      </c>
      <c r="AN105" s="80">
        <v>2</v>
      </c>
      <c r="AO105" s="80">
        <v>2</v>
      </c>
      <c r="AP105" s="80">
        <v>2</v>
      </c>
      <c r="AQ105" s="80">
        <v>2</v>
      </c>
      <c r="AR105" s="80">
        <v>2</v>
      </c>
      <c r="AS105" s="80">
        <v>2</v>
      </c>
      <c r="AT105" s="80">
        <v>2</v>
      </c>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row>
    <row r="106" spans="8:73" x14ac:dyDescent="0.2">
      <c r="H106" s="77"/>
      <c r="I106" s="77"/>
      <c r="J106" s="83"/>
      <c r="K106" s="83"/>
      <c r="L106" s="83"/>
      <c r="M106" s="83"/>
      <c r="N106" s="83"/>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row>
    <row r="107" spans="8:73" x14ac:dyDescent="0.2">
      <c r="H107" s="84" t="s">
        <v>80</v>
      </c>
      <c r="I107" s="85"/>
      <c r="J107" s="83"/>
      <c r="K107" s="83"/>
      <c r="L107" s="83"/>
      <c r="M107" s="83"/>
      <c r="N107" s="83"/>
      <c r="O107" s="77"/>
      <c r="P107" s="77"/>
      <c r="Q107" s="77"/>
      <c r="R107" s="77"/>
      <c r="S107" s="77"/>
      <c r="T107" s="77"/>
      <c r="U107" s="77"/>
      <c r="V107" s="77"/>
      <c r="W107" s="77"/>
      <c r="X107" s="77"/>
      <c r="Y107" s="77"/>
      <c r="Z107" s="77"/>
      <c r="AA107" s="77"/>
      <c r="AB107" s="77"/>
      <c r="AC107" s="77"/>
      <c r="AD107" s="77"/>
      <c r="AE107" s="77"/>
      <c r="AF107" s="77"/>
      <c r="AG107" s="77"/>
      <c r="AH107" s="77"/>
      <c r="AI107" s="77"/>
      <c r="AJ107" s="76" t="s">
        <v>4</v>
      </c>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row>
    <row r="108" spans="8:73" x14ac:dyDescent="0.2">
      <c r="H108" s="83"/>
      <c r="I108" s="86" t="s">
        <v>77</v>
      </c>
      <c r="J108" s="87">
        <v>5</v>
      </c>
      <c r="K108" s="87">
        <v>6</v>
      </c>
      <c r="L108" s="87">
        <v>7</v>
      </c>
      <c r="M108" s="87">
        <v>8</v>
      </c>
      <c r="N108" s="87">
        <v>9</v>
      </c>
      <c r="O108" s="88">
        <v>10</v>
      </c>
      <c r="P108" s="87">
        <v>11</v>
      </c>
      <c r="Q108" s="88">
        <v>12</v>
      </c>
      <c r="R108" s="87">
        <v>13</v>
      </c>
      <c r="S108" s="88">
        <v>14</v>
      </c>
      <c r="T108" s="88">
        <v>15</v>
      </c>
      <c r="U108" s="88">
        <v>16</v>
      </c>
      <c r="V108" s="88">
        <v>17</v>
      </c>
      <c r="W108" s="88">
        <v>18</v>
      </c>
      <c r="X108" s="88">
        <v>19</v>
      </c>
      <c r="Y108" s="88">
        <v>20</v>
      </c>
      <c r="Z108" s="88">
        <v>21</v>
      </c>
      <c r="AA108" s="88">
        <v>22</v>
      </c>
      <c r="AB108" s="88">
        <v>23</v>
      </c>
      <c r="AC108" s="88">
        <v>24</v>
      </c>
      <c r="AD108" s="88">
        <v>25</v>
      </c>
      <c r="AE108" s="88">
        <v>26</v>
      </c>
      <c r="AF108" s="77"/>
      <c r="AG108" s="77"/>
      <c r="AH108" s="77"/>
      <c r="AI108" s="77"/>
      <c r="AJ108" s="79" t="s">
        <v>78</v>
      </c>
      <c r="AK108" s="89">
        <v>9</v>
      </c>
      <c r="AL108" s="89">
        <v>10</v>
      </c>
      <c r="AM108" s="89">
        <v>11</v>
      </c>
      <c r="AN108" s="89">
        <v>12</v>
      </c>
      <c r="AO108" s="89">
        <v>13</v>
      </c>
      <c r="AP108" s="89">
        <v>14</v>
      </c>
      <c r="AQ108" s="89">
        <v>15</v>
      </c>
      <c r="AR108" s="89">
        <v>16</v>
      </c>
      <c r="AS108" s="89">
        <v>17</v>
      </c>
      <c r="AT108" s="89">
        <v>18</v>
      </c>
      <c r="AU108" s="89">
        <v>19</v>
      </c>
      <c r="AV108" s="89">
        <v>20</v>
      </c>
      <c r="AW108" s="89">
        <v>21</v>
      </c>
      <c r="AX108" s="89">
        <v>22</v>
      </c>
      <c r="AY108" s="89">
        <v>23</v>
      </c>
      <c r="AZ108" s="89">
        <v>24</v>
      </c>
      <c r="BA108" s="89">
        <v>25</v>
      </c>
      <c r="BB108" s="89">
        <v>26</v>
      </c>
      <c r="BC108" s="89">
        <v>27</v>
      </c>
      <c r="BD108" s="89">
        <v>28</v>
      </c>
      <c r="BE108" s="89">
        <v>29</v>
      </c>
      <c r="BF108" s="89">
        <v>30</v>
      </c>
      <c r="BG108" s="89">
        <v>31</v>
      </c>
      <c r="BH108" s="90">
        <v>32.4</v>
      </c>
      <c r="BI108" s="89">
        <v>33.799999999999997</v>
      </c>
      <c r="BJ108" s="89">
        <v>34</v>
      </c>
      <c r="BK108" s="77"/>
      <c r="BL108" s="77"/>
      <c r="BM108" s="77"/>
      <c r="BN108" s="77"/>
      <c r="BO108" s="77"/>
      <c r="BP108" s="77"/>
      <c r="BQ108" s="77"/>
      <c r="BR108" s="77"/>
      <c r="BS108" s="77"/>
      <c r="BT108" s="77"/>
      <c r="BU108" s="77"/>
    </row>
    <row r="109" spans="8:73" x14ac:dyDescent="0.2">
      <c r="H109" s="80" t="s">
        <v>79</v>
      </c>
      <c r="I109" s="91">
        <v>16</v>
      </c>
      <c r="J109" s="85">
        <v>100</v>
      </c>
      <c r="K109" s="85">
        <v>100</v>
      </c>
      <c r="L109" s="85">
        <v>100</v>
      </c>
      <c r="M109" s="85">
        <v>100</v>
      </c>
      <c r="N109" s="85">
        <v>100</v>
      </c>
      <c r="O109" s="85">
        <v>100</v>
      </c>
      <c r="P109" s="85">
        <v>100</v>
      </c>
      <c r="Q109" s="85">
        <v>100</v>
      </c>
      <c r="R109" s="85">
        <v>100</v>
      </c>
      <c r="S109" s="85">
        <v>100</v>
      </c>
      <c r="T109" s="85">
        <v>100</v>
      </c>
      <c r="U109" s="85">
        <v>100</v>
      </c>
      <c r="V109" s="85">
        <v>100</v>
      </c>
      <c r="W109" s="85">
        <v>100</v>
      </c>
      <c r="X109" s="85">
        <v>100</v>
      </c>
      <c r="Y109" s="85">
        <v>100</v>
      </c>
      <c r="Z109" s="85">
        <v>100</v>
      </c>
      <c r="AA109" s="85">
        <v>100</v>
      </c>
      <c r="AB109" s="85">
        <v>100</v>
      </c>
      <c r="AC109" s="85">
        <v>100</v>
      </c>
      <c r="AD109" s="85">
        <v>100</v>
      </c>
      <c r="AE109" s="92">
        <v>50</v>
      </c>
      <c r="AF109" s="77"/>
      <c r="AG109" s="77"/>
      <c r="AH109" s="77"/>
      <c r="AI109" s="77" t="s">
        <v>79</v>
      </c>
      <c r="AJ109" s="93">
        <v>13.9</v>
      </c>
      <c r="AK109" s="94">
        <v>100</v>
      </c>
      <c r="AL109" s="94">
        <v>100</v>
      </c>
      <c r="AM109" s="94">
        <v>100</v>
      </c>
      <c r="AN109" s="94">
        <v>100</v>
      </c>
      <c r="AO109" s="94">
        <v>100</v>
      </c>
      <c r="AP109" s="94">
        <v>100</v>
      </c>
      <c r="AQ109" s="94">
        <v>100</v>
      </c>
      <c r="AR109" s="94">
        <v>100</v>
      </c>
      <c r="AS109" s="94">
        <v>100</v>
      </c>
      <c r="AT109" s="94">
        <v>100</v>
      </c>
      <c r="AU109" s="94">
        <v>100</v>
      </c>
      <c r="AV109" s="94">
        <v>100</v>
      </c>
      <c r="AW109" s="94">
        <v>100</v>
      </c>
      <c r="AX109" s="94">
        <v>100</v>
      </c>
      <c r="AY109" s="94">
        <v>100</v>
      </c>
      <c r="AZ109" s="94">
        <v>100</v>
      </c>
      <c r="BA109" s="94">
        <v>100</v>
      </c>
      <c r="BB109" s="94">
        <v>100</v>
      </c>
      <c r="BC109" s="94">
        <v>100</v>
      </c>
      <c r="BD109" s="94">
        <v>100</v>
      </c>
      <c r="BE109" s="94">
        <v>100</v>
      </c>
      <c r="BF109" s="95">
        <v>100</v>
      </c>
      <c r="BG109" s="95">
        <v>100</v>
      </c>
      <c r="BH109" s="95">
        <v>100</v>
      </c>
      <c r="BI109" s="94">
        <v>100</v>
      </c>
      <c r="BJ109" s="94">
        <v>100</v>
      </c>
      <c r="BK109" s="77"/>
      <c r="BL109" s="77"/>
      <c r="BM109" s="77"/>
      <c r="BN109" s="77"/>
      <c r="BO109" s="77"/>
      <c r="BP109" s="77"/>
      <c r="BQ109" s="77"/>
      <c r="BR109" s="77"/>
      <c r="BS109" s="77"/>
      <c r="BT109" s="77"/>
      <c r="BU109" s="77"/>
    </row>
    <row r="110" spans="8:73" x14ac:dyDescent="0.2">
      <c r="H110" s="80"/>
      <c r="I110" s="96">
        <v>18</v>
      </c>
      <c r="J110" s="85">
        <v>100</v>
      </c>
      <c r="K110" s="83">
        <v>70</v>
      </c>
      <c r="L110" s="83">
        <v>70</v>
      </c>
      <c r="M110" s="83">
        <v>70</v>
      </c>
      <c r="N110" s="83">
        <v>70</v>
      </c>
      <c r="O110" s="83">
        <v>70</v>
      </c>
      <c r="P110" s="83">
        <v>36</v>
      </c>
      <c r="Q110" s="83">
        <v>36</v>
      </c>
      <c r="R110" s="83">
        <v>36</v>
      </c>
      <c r="S110" s="83">
        <v>36</v>
      </c>
      <c r="T110" s="83">
        <v>36</v>
      </c>
      <c r="U110" s="83">
        <v>19</v>
      </c>
      <c r="V110" s="83">
        <v>19</v>
      </c>
      <c r="W110" s="83">
        <v>19</v>
      </c>
      <c r="X110" s="83">
        <v>19</v>
      </c>
      <c r="Y110" s="83">
        <v>19</v>
      </c>
      <c r="Z110" s="83">
        <v>11</v>
      </c>
      <c r="AA110" s="83">
        <v>11</v>
      </c>
      <c r="AB110" s="83">
        <v>11</v>
      </c>
      <c r="AC110" s="83">
        <v>11</v>
      </c>
      <c r="AD110" s="83">
        <v>11</v>
      </c>
      <c r="AE110" s="92">
        <v>4</v>
      </c>
      <c r="AF110" s="77"/>
      <c r="AG110" s="77"/>
      <c r="AH110" s="77"/>
      <c r="AI110" s="77"/>
      <c r="AJ110" s="97">
        <v>14</v>
      </c>
      <c r="AK110" s="98">
        <v>100</v>
      </c>
      <c r="AL110" s="94">
        <v>100</v>
      </c>
      <c r="AM110" s="94">
        <v>100</v>
      </c>
      <c r="AN110" s="94">
        <v>100</v>
      </c>
      <c r="AO110" s="94">
        <v>100</v>
      </c>
      <c r="AP110" s="94">
        <v>100</v>
      </c>
      <c r="AQ110" s="94">
        <v>100</v>
      </c>
      <c r="AR110" s="94">
        <v>100</v>
      </c>
      <c r="AS110" s="94">
        <v>100</v>
      </c>
      <c r="AT110" s="94">
        <v>100</v>
      </c>
      <c r="AU110" s="94">
        <v>100</v>
      </c>
      <c r="AV110" s="94">
        <v>100</v>
      </c>
      <c r="AW110" s="94">
        <v>100</v>
      </c>
      <c r="AX110" s="94">
        <v>100</v>
      </c>
      <c r="AY110" s="94">
        <v>100</v>
      </c>
      <c r="AZ110" s="94">
        <v>100</v>
      </c>
      <c r="BA110" s="94">
        <v>100</v>
      </c>
      <c r="BB110" s="94">
        <v>100</v>
      </c>
      <c r="BC110" s="94">
        <v>100</v>
      </c>
      <c r="BD110" s="94">
        <v>100</v>
      </c>
      <c r="BE110" s="94">
        <v>100</v>
      </c>
      <c r="BF110" s="95">
        <v>100</v>
      </c>
      <c r="BG110" s="95">
        <v>100</v>
      </c>
      <c r="BH110" s="95">
        <v>100</v>
      </c>
      <c r="BI110" s="94">
        <v>100</v>
      </c>
      <c r="BJ110" s="94">
        <v>100</v>
      </c>
      <c r="BK110" s="77"/>
      <c r="BL110" s="77"/>
      <c r="BM110" s="77"/>
      <c r="BN110" s="77"/>
      <c r="BO110" s="77"/>
      <c r="BP110" s="77"/>
      <c r="BQ110" s="77"/>
      <c r="BR110" s="77"/>
      <c r="BS110" s="77"/>
      <c r="BT110" s="77"/>
      <c r="BU110" s="77"/>
    </row>
    <row r="111" spans="8:73" x14ac:dyDescent="0.2">
      <c r="H111" s="80"/>
      <c r="I111" s="96">
        <v>19</v>
      </c>
      <c r="J111" s="85">
        <v>100</v>
      </c>
      <c r="K111" s="83">
        <v>43</v>
      </c>
      <c r="L111" s="83">
        <v>43</v>
      </c>
      <c r="M111" s="83">
        <v>43</v>
      </c>
      <c r="N111" s="83">
        <v>43</v>
      </c>
      <c r="O111" s="83">
        <v>43</v>
      </c>
      <c r="P111" s="83">
        <v>21.5</v>
      </c>
      <c r="Q111" s="83">
        <v>21.5</v>
      </c>
      <c r="R111" s="83">
        <v>21.5</v>
      </c>
      <c r="S111" s="83">
        <v>21.5</v>
      </c>
      <c r="T111" s="83">
        <v>21.5</v>
      </c>
      <c r="U111" s="83">
        <v>11.5</v>
      </c>
      <c r="V111" s="83">
        <v>11.5</v>
      </c>
      <c r="W111" s="83">
        <v>11.5</v>
      </c>
      <c r="X111" s="83">
        <v>11.5</v>
      </c>
      <c r="Y111" s="83">
        <v>11.5</v>
      </c>
      <c r="Z111" s="83">
        <v>6</v>
      </c>
      <c r="AA111" s="83">
        <v>6</v>
      </c>
      <c r="AB111" s="83">
        <v>6</v>
      </c>
      <c r="AC111" s="83">
        <v>6</v>
      </c>
      <c r="AD111" s="83">
        <v>6</v>
      </c>
      <c r="AE111" s="92">
        <v>1</v>
      </c>
      <c r="AF111" s="77"/>
      <c r="AG111" s="77"/>
      <c r="AH111" s="77"/>
      <c r="AI111" s="77"/>
      <c r="AJ111" s="97">
        <v>15</v>
      </c>
      <c r="AK111" s="99">
        <v>100</v>
      </c>
      <c r="AL111" s="80">
        <v>90</v>
      </c>
      <c r="AM111" s="80">
        <v>90</v>
      </c>
      <c r="AN111" s="80">
        <v>90</v>
      </c>
      <c r="AO111" s="80">
        <v>90</v>
      </c>
      <c r="AP111" s="80">
        <v>90</v>
      </c>
      <c r="AQ111" s="80">
        <v>70</v>
      </c>
      <c r="AR111" s="80">
        <v>70</v>
      </c>
      <c r="AS111" s="80">
        <v>70</v>
      </c>
      <c r="AT111" s="80">
        <v>70</v>
      </c>
      <c r="AU111" s="80">
        <v>70</v>
      </c>
      <c r="AV111" s="80">
        <v>60</v>
      </c>
      <c r="AW111" s="80">
        <v>60</v>
      </c>
      <c r="AX111" s="80">
        <v>60</v>
      </c>
      <c r="AY111" s="80">
        <v>60</v>
      </c>
      <c r="AZ111" s="80">
        <v>60</v>
      </c>
      <c r="BA111" s="80">
        <v>60</v>
      </c>
      <c r="BB111" s="80">
        <v>60</v>
      </c>
      <c r="BC111" s="80">
        <v>60</v>
      </c>
      <c r="BD111" s="80">
        <v>60</v>
      </c>
      <c r="BE111" s="80">
        <v>60</v>
      </c>
      <c r="BF111" s="80">
        <v>60</v>
      </c>
      <c r="BG111" s="95">
        <v>100</v>
      </c>
      <c r="BH111" s="95">
        <v>100</v>
      </c>
      <c r="BI111" s="94">
        <v>100</v>
      </c>
      <c r="BJ111" s="94">
        <v>100</v>
      </c>
      <c r="BK111" s="77"/>
      <c r="BL111" s="77"/>
      <c r="BM111" s="77"/>
      <c r="BN111" s="77"/>
      <c r="BO111" s="77"/>
      <c r="BP111" s="77"/>
      <c r="BQ111" s="77"/>
      <c r="BR111" s="77"/>
      <c r="BS111" s="77"/>
      <c r="BT111" s="77"/>
      <c r="BU111" s="77"/>
    </row>
    <row r="112" spans="8:73" x14ac:dyDescent="0.2">
      <c r="H112" s="80"/>
      <c r="I112" s="96">
        <v>20</v>
      </c>
      <c r="J112" s="85">
        <v>67</v>
      </c>
      <c r="K112" s="83">
        <v>26</v>
      </c>
      <c r="L112" s="83">
        <v>26</v>
      </c>
      <c r="M112" s="83">
        <v>26</v>
      </c>
      <c r="N112" s="83">
        <v>26</v>
      </c>
      <c r="O112" s="83">
        <v>26</v>
      </c>
      <c r="P112" s="83">
        <v>12</v>
      </c>
      <c r="Q112" s="83">
        <v>12</v>
      </c>
      <c r="R112" s="83">
        <v>12</v>
      </c>
      <c r="S112" s="83">
        <v>12</v>
      </c>
      <c r="T112" s="83">
        <v>12</v>
      </c>
      <c r="U112" s="83">
        <v>7</v>
      </c>
      <c r="V112" s="83">
        <v>7</v>
      </c>
      <c r="W112" s="83">
        <v>7</v>
      </c>
      <c r="X112" s="83">
        <v>7</v>
      </c>
      <c r="Y112" s="83">
        <v>7</v>
      </c>
      <c r="Z112" s="83">
        <v>4</v>
      </c>
      <c r="AA112" s="83">
        <v>4</v>
      </c>
      <c r="AB112" s="83">
        <v>4</v>
      </c>
      <c r="AC112" s="83">
        <v>4</v>
      </c>
      <c r="AD112" s="83">
        <v>4</v>
      </c>
      <c r="AE112" s="92">
        <v>1</v>
      </c>
      <c r="AF112" s="77"/>
      <c r="AG112" s="77"/>
      <c r="AH112" s="77"/>
      <c r="AI112" s="77"/>
      <c r="AJ112" s="97">
        <v>16.899999999999999</v>
      </c>
      <c r="AK112" s="99">
        <v>100</v>
      </c>
      <c r="AL112" s="80">
        <v>60</v>
      </c>
      <c r="AM112" s="80">
        <v>60</v>
      </c>
      <c r="AN112" s="80">
        <v>60</v>
      </c>
      <c r="AO112" s="80">
        <v>60</v>
      </c>
      <c r="AP112" s="80">
        <v>60</v>
      </c>
      <c r="AQ112" s="80">
        <v>40</v>
      </c>
      <c r="AR112" s="80">
        <v>40</v>
      </c>
      <c r="AS112" s="80">
        <v>40</v>
      </c>
      <c r="AT112" s="80">
        <v>40</v>
      </c>
      <c r="AU112" s="80">
        <v>40</v>
      </c>
      <c r="AV112" s="80">
        <v>35</v>
      </c>
      <c r="AW112" s="80">
        <v>35</v>
      </c>
      <c r="AX112" s="80">
        <v>35</v>
      </c>
      <c r="AY112" s="80">
        <v>35</v>
      </c>
      <c r="AZ112" s="80">
        <v>35</v>
      </c>
      <c r="BA112" s="80">
        <v>28</v>
      </c>
      <c r="BB112" s="80">
        <v>28</v>
      </c>
      <c r="BC112" s="80">
        <v>28</v>
      </c>
      <c r="BD112" s="80">
        <v>28</v>
      </c>
      <c r="BE112" s="80">
        <v>28</v>
      </c>
      <c r="BF112" s="80">
        <v>30</v>
      </c>
      <c r="BG112" s="95">
        <v>100</v>
      </c>
      <c r="BH112" s="95">
        <v>100</v>
      </c>
      <c r="BI112" s="94">
        <v>100</v>
      </c>
      <c r="BJ112" s="94">
        <v>100</v>
      </c>
      <c r="BK112" s="77"/>
      <c r="BL112" s="77"/>
      <c r="BM112" s="77"/>
      <c r="BN112" s="77"/>
      <c r="BO112" s="77"/>
      <c r="BP112" s="77"/>
      <c r="BQ112" s="77"/>
      <c r="BR112" s="77"/>
      <c r="BS112" s="77"/>
      <c r="BT112" s="77"/>
      <c r="BU112" s="77"/>
    </row>
    <row r="113" spans="8:62" x14ac:dyDescent="0.2">
      <c r="H113" s="80"/>
      <c r="I113" s="96">
        <v>22</v>
      </c>
      <c r="J113" s="85">
        <v>28</v>
      </c>
      <c r="K113" s="83">
        <v>12</v>
      </c>
      <c r="L113" s="83">
        <v>12</v>
      </c>
      <c r="M113" s="83">
        <v>12</v>
      </c>
      <c r="N113" s="83">
        <v>12</v>
      </c>
      <c r="O113" s="83">
        <v>12</v>
      </c>
      <c r="P113" s="83">
        <v>6.5</v>
      </c>
      <c r="Q113" s="83">
        <v>6.5</v>
      </c>
      <c r="R113" s="83">
        <v>6.5</v>
      </c>
      <c r="S113" s="83">
        <v>6.5</v>
      </c>
      <c r="T113" s="83">
        <v>6.5</v>
      </c>
      <c r="U113" s="83">
        <v>4</v>
      </c>
      <c r="V113" s="83">
        <v>4</v>
      </c>
      <c r="W113" s="83">
        <v>4</v>
      </c>
      <c r="X113" s="83">
        <v>4</v>
      </c>
      <c r="Y113" s="83">
        <v>4</v>
      </c>
      <c r="Z113" s="83">
        <v>2</v>
      </c>
      <c r="AA113" s="83">
        <v>2</v>
      </c>
      <c r="AB113" s="83">
        <v>2</v>
      </c>
      <c r="AC113" s="83">
        <v>2</v>
      </c>
      <c r="AD113" s="83">
        <v>2</v>
      </c>
      <c r="AE113" s="92">
        <v>1</v>
      </c>
      <c r="AF113" s="77"/>
      <c r="AG113" s="77"/>
      <c r="AH113" s="77"/>
      <c r="AI113" s="77"/>
      <c r="AJ113" s="97">
        <v>19</v>
      </c>
      <c r="AK113" s="99">
        <v>100</v>
      </c>
      <c r="AL113" s="80">
        <v>50</v>
      </c>
      <c r="AM113" s="80">
        <v>50</v>
      </c>
      <c r="AN113" s="80">
        <v>50</v>
      </c>
      <c r="AO113" s="80">
        <v>50</v>
      </c>
      <c r="AP113" s="80">
        <v>50</v>
      </c>
      <c r="AQ113" s="80">
        <v>20</v>
      </c>
      <c r="AR113" s="80">
        <v>20</v>
      </c>
      <c r="AS113" s="80">
        <v>20</v>
      </c>
      <c r="AT113" s="80">
        <v>20</v>
      </c>
      <c r="AU113" s="80">
        <v>20</v>
      </c>
      <c r="AV113" s="80">
        <v>16</v>
      </c>
      <c r="AW113" s="80">
        <v>16</v>
      </c>
      <c r="AX113" s="80">
        <v>16</v>
      </c>
      <c r="AY113" s="80">
        <v>16</v>
      </c>
      <c r="AZ113" s="80">
        <v>16</v>
      </c>
      <c r="BA113" s="80">
        <v>15</v>
      </c>
      <c r="BB113" s="80">
        <v>15</v>
      </c>
      <c r="BC113" s="80">
        <v>15</v>
      </c>
      <c r="BD113" s="80">
        <v>15</v>
      </c>
      <c r="BE113" s="80">
        <v>15</v>
      </c>
      <c r="BF113" s="80">
        <v>20</v>
      </c>
      <c r="BG113" s="95">
        <v>100</v>
      </c>
      <c r="BH113" s="95">
        <v>100</v>
      </c>
      <c r="BI113" s="94">
        <v>100</v>
      </c>
      <c r="BJ113" s="94">
        <v>100</v>
      </c>
    </row>
    <row r="114" spans="8:62" x14ac:dyDescent="0.2">
      <c r="H114" s="80"/>
      <c r="I114" s="96">
        <v>24</v>
      </c>
      <c r="J114" s="85">
        <v>18</v>
      </c>
      <c r="K114" s="83">
        <v>7</v>
      </c>
      <c r="L114" s="83">
        <v>7</v>
      </c>
      <c r="M114" s="83">
        <v>7</v>
      </c>
      <c r="N114" s="83">
        <v>7</v>
      </c>
      <c r="O114" s="83">
        <v>7</v>
      </c>
      <c r="P114" s="83">
        <v>4</v>
      </c>
      <c r="Q114" s="83">
        <v>4</v>
      </c>
      <c r="R114" s="83">
        <v>4</v>
      </c>
      <c r="S114" s="83">
        <v>4</v>
      </c>
      <c r="T114" s="83">
        <v>4</v>
      </c>
      <c r="U114" s="83">
        <v>2</v>
      </c>
      <c r="V114" s="83">
        <v>2</v>
      </c>
      <c r="W114" s="83">
        <v>2</v>
      </c>
      <c r="X114" s="83">
        <v>2</v>
      </c>
      <c r="Y114" s="83">
        <v>2</v>
      </c>
      <c r="Z114" s="83">
        <v>1</v>
      </c>
      <c r="AA114" s="83">
        <v>1</v>
      </c>
      <c r="AB114" s="83">
        <v>1</v>
      </c>
      <c r="AC114" s="83">
        <v>1</v>
      </c>
      <c r="AD114" s="83">
        <v>1</v>
      </c>
      <c r="AE114" s="92">
        <v>1</v>
      </c>
      <c r="AF114" s="77"/>
      <c r="AG114" s="77"/>
      <c r="AH114" s="77"/>
      <c r="AI114" s="77"/>
      <c r="AJ114" s="97">
        <v>23</v>
      </c>
      <c r="AK114" s="99">
        <v>100</v>
      </c>
      <c r="AL114" s="80">
        <v>50</v>
      </c>
      <c r="AM114" s="80">
        <v>50</v>
      </c>
      <c r="AN114" s="80">
        <v>50</v>
      </c>
      <c r="AO114" s="80">
        <v>50</v>
      </c>
      <c r="AP114" s="80">
        <v>50</v>
      </c>
      <c r="AQ114" s="80">
        <v>14</v>
      </c>
      <c r="AR114" s="80">
        <v>14</v>
      </c>
      <c r="AS114" s="80">
        <v>14</v>
      </c>
      <c r="AT114" s="80">
        <v>14</v>
      </c>
      <c r="AU114" s="80">
        <v>14</v>
      </c>
      <c r="AV114" s="80">
        <v>10</v>
      </c>
      <c r="AW114" s="80">
        <v>10</v>
      </c>
      <c r="AX114" s="80">
        <v>10</v>
      </c>
      <c r="AY114" s="80">
        <v>10</v>
      </c>
      <c r="AZ114" s="80">
        <v>10</v>
      </c>
      <c r="BA114" s="80">
        <v>10</v>
      </c>
      <c r="BB114" s="80">
        <v>10</v>
      </c>
      <c r="BC114" s="80">
        <v>10</v>
      </c>
      <c r="BD114" s="80">
        <v>10</v>
      </c>
      <c r="BE114" s="80">
        <v>10</v>
      </c>
      <c r="BF114" s="80">
        <v>20</v>
      </c>
      <c r="BG114" s="95">
        <v>100</v>
      </c>
      <c r="BH114" s="95">
        <v>100</v>
      </c>
      <c r="BI114" s="94">
        <v>100</v>
      </c>
      <c r="BJ114" s="94">
        <v>100</v>
      </c>
    </row>
    <row r="115" spans="8:62" x14ac:dyDescent="0.2">
      <c r="H115" s="80"/>
      <c r="I115" s="100">
        <v>25</v>
      </c>
      <c r="J115" s="85">
        <v>7</v>
      </c>
      <c r="K115" s="83">
        <v>1</v>
      </c>
      <c r="L115" s="83">
        <v>1</v>
      </c>
      <c r="M115" s="83">
        <v>1</v>
      </c>
      <c r="N115" s="83">
        <v>1</v>
      </c>
      <c r="O115" s="83">
        <v>1</v>
      </c>
      <c r="P115" s="83">
        <v>1</v>
      </c>
      <c r="Q115" s="83">
        <v>1</v>
      </c>
      <c r="R115" s="83">
        <v>1</v>
      </c>
      <c r="S115" s="83">
        <v>1</v>
      </c>
      <c r="T115" s="83">
        <v>1</v>
      </c>
      <c r="U115" s="83">
        <v>1</v>
      </c>
      <c r="V115" s="83">
        <v>1</v>
      </c>
      <c r="W115" s="83">
        <v>1</v>
      </c>
      <c r="X115" s="83">
        <v>1</v>
      </c>
      <c r="Y115" s="83">
        <v>1</v>
      </c>
      <c r="Z115" s="83">
        <v>1</v>
      </c>
      <c r="AA115" s="83">
        <v>1</v>
      </c>
      <c r="AB115" s="83">
        <v>1</v>
      </c>
      <c r="AC115" s="83">
        <v>1</v>
      </c>
      <c r="AD115" s="83">
        <v>1</v>
      </c>
      <c r="AE115" s="92">
        <v>1</v>
      </c>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row>
    <row r="116" spans="8:62" ht="12.75" x14ac:dyDescent="0.2">
      <c r="H116" s="101"/>
      <c r="I116" s="77"/>
      <c r="J116" s="77"/>
      <c r="K116" s="77"/>
      <c r="L116" s="77"/>
      <c r="M116" s="77"/>
      <c r="N116" s="92"/>
      <c r="O116" s="77"/>
      <c r="P116" s="77"/>
      <c r="Q116" s="77"/>
      <c r="R116" s="77"/>
      <c r="S116" s="77"/>
      <c r="T116" s="77"/>
      <c r="U116" s="77"/>
      <c r="V116" s="77"/>
      <c r="W116" s="77"/>
      <c r="X116" s="77"/>
      <c r="Y116" s="77"/>
      <c r="Z116" s="77"/>
      <c r="AA116" s="77"/>
      <c r="AB116" s="77"/>
      <c r="AC116" s="77"/>
      <c r="AD116" s="77"/>
      <c r="AE116" s="77"/>
      <c r="AF116" s="77"/>
      <c r="AG116" s="77"/>
      <c r="AH116" s="77"/>
      <c r="AI116" s="77"/>
      <c r="AJ116" s="102"/>
      <c r="AK116" s="103"/>
      <c r="AL116"/>
      <c r="AM116" s="104"/>
      <c r="AN116" s="104"/>
      <c r="AO116" s="104"/>
      <c r="AP116" s="104"/>
      <c r="AQ116" s="104"/>
      <c r="AR116" s="103"/>
      <c r="AS116" s="77"/>
      <c r="AT116" s="77"/>
      <c r="AU116" s="77"/>
      <c r="AV116" s="77"/>
      <c r="AW116" s="77"/>
      <c r="AX116" s="77"/>
      <c r="AY116" s="77"/>
      <c r="AZ116" s="77"/>
      <c r="BA116" s="77"/>
      <c r="BB116" s="77"/>
      <c r="BC116" s="77"/>
      <c r="BD116" s="77"/>
      <c r="BE116" s="77"/>
      <c r="BF116" s="77"/>
      <c r="BG116" s="77"/>
      <c r="BH116" s="77"/>
      <c r="BI116" s="77"/>
      <c r="BJ116" s="77"/>
    </row>
    <row r="117" spans="8:62" ht="12.75" x14ac:dyDescent="0.2">
      <c r="H117" s="24"/>
      <c r="I117" s="24"/>
      <c r="J117" s="24"/>
      <c r="K117" s="24"/>
      <c r="L117" s="24"/>
      <c r="M117" s="24"/>
      <c r="N117" s="105"/>
      <c r="O117" s="24"/>
      <c r="P117" s="24"/>
      <c r="Q117" s="24"/>
      <c r="R117" s="24"/>
      <c r="S117" s="77"/>
      <c r="T117" s="101" t="s">
        <v>81</v>
      </c>
      <c r="U117" s="101"/>
      <c r="V117" s="101" t="s">
        <v>82</v>
      </c>
      <c r="W117" s="101"/>
      <c r="X117" s="106" t="s">
        <v>83</v>
      </c>
      <c r="Y117" s="101"/>
      <c r="Z117" s="107" t="s">
        <v>84</v>
      </c>
      <c r="AA117" s="77"/>
      <c r="AB117" s="77"/>
      <c r="AC117" s="24"/>
      <c r="AD117" s="24"/>
      <c r="AE117" s="24"/>
      <c r="AF117" s="24"/>
      <c r="AG117" s="24"/>
      <c r="AH117" s="24"/>
      <c r="AI117" s="24"/>
      <c r="AJ117" s="103"/>
      <c r="AK117"/>
      <c r="AL117"/>
      <c r="AM117" s="104"/>
      <c r="AN117" s="104"/>
      <c r="AO117" s="104"/>
      <c r="AP117" s="104"/>
      <c r="AQ117" s="104"/>
      <c r="AR117"/>
      <c r="AS117" s="24"/>
      <c r="AT117" s="24"/>
      <c r="AU117" s="24"/>
      <c r="AV117" s="24"/>
      <c r="AW117" s="24"/>
      <c r="AX117" s="24"/>
      <c r="AY117" s="24"/>
      <c r="AZ117" s="24"/>
      <c r="BA117" s="24"/>
      <c r="BB117" s="24"/>
      <c r="BC117" s="24"/>
      <c r="BD117" s="24"/>
      <c r="BE117" s="24"/>
      <c r="BF117" s="24"/>
      <c r="BG117" s="24"/>
      <c r="BH117" s="24"/>
      <c r="BI117" s="24"/>
      <c r="BJ117" s="24"/>
    </row>
    <row r="118" spans="8:62" ht="12.75" x14ac:dyDescent="0.2">
      <c r="H118" s="24"/>
      <c r="I118" s="24"/>
      <c r="J118" s="24"/>
      <c r="K118" s="24"/>
      <c r="L118" s="24"/>
      <c r="M118" s="24"/>
      <c r="N118" s="105"/>
      <c r="O118" s="24"/>
      <c r="P118" s="24"/>
      <c r="Q118" s="24"/>
      <c r="R118" s="24"/>
      <c r="S118" s="77"/>
      <c r="T118" s="108">
        <v>16</v>
      </c>
      <c r="U118" s="80">
        <v>2</v>
      </c>
      <c r="V118" s="109">
        <v>13</v>
      </c>
      <c r="W118" s="77">
        <v>2</v>
      </c>
      <c r="X118" s="108">
        <v>11</v>
      </c>
      <c r="Y118" s="77">
        <v>2</v>
      </c>
      <c r="Z118" s="110">
        <v>13.9</v>
      </c>
      <c r="AA118" s="77">
        <v>2</v>
      </c>
      <c r="AB118" s="77"/>
      <c r="AC118" s="24"/>
      <c r="AD118" s="24"/>
      <c r="AE118" s="24"/>
      <c r="AF118" s="24"/>
      <c r="AG118" s="24"/>
      <c r="AH118" s="24"/>
      <c r="AI118" s="24"/>
      <c r="AJ118"/>
      <c r="AK118"/>
      <c r="AL118"/>
      <c r="AM118" s="104"/>
      <c r="AN118" s="104"/>
      <c r="AO118" s="104"/>
      <c r="AP118" s="104"/>
      <c r="AQ118" s="104"/>
      <c r="AR118"/>
      <c r="AS118" s="24"/>
      <c r="AT118" s="24"/>
      <c r="AU118" s="24"/>
      <c r="AV118" s="24"/>
      <c r="AW118" s="24"/>
      <c r="AX118" s="24"/>
      <c r="AY118" s="24"/>
      <c r="AZ118" s="24"/>
      <c r="BA118" s="24"/>
      <c r="BB118" s="24"/>
      <c r="BC118" s="24"/>
      <c r="BD118" s="24"/>
      <c r="BE118" s="24"/>
      <c r="BF118" s="24"/>
      <c r="BG118" s="24"/>
      <c r="BH118" s="24"/>
      <c r="BI118" s="24"/>
      <c r="BJ118" s="24"/>
    </row>
    <row r="119" spans="8:62" ht="12.75" x14ac:dyDescent="0.2">
      <c r="H119" s="24"/>
      <c r="I119" s="24"/>
      <c r="J119" s="24"/>
      <c r="K119" s="24"/>
      <c r="L119" s="24"/>
      <c r="M119" s="24"/>
      <c r="N119" s="24"/>
      <c r="O119" s="24"/>
      <c r="P119" s="105"/>
      <c r="Q119" s="24"/>
      <c r="R119" s="24"/>
      <c r="S119" s="77"/>
      <c r="T119" s="108">
        <v>17</v>
      </c>
      <c r="U119" s="24">
        <v>3</v>
      </c>
      <c r="V119" s="111">
        <v>14</v>
      </c>
      <c r="W119" s="77">
        <v>3</v>
      </c>
      <c r="X119" s="108">
        <v>11.1</v>
      </c>
      <c r="Y119" s="24">
        <v>3</v>
      </c>
      <c r="Z119" s="112">
        <v>14</v>
      </c>
      <c r="AA119" s="77">
        <v>3</v>
      </c>
      <c r="AB119" s="24"/>
      <c r="AC119" s="24"/>
      <c r="AD119" s="77"/>
      <c r="AE119" s="24"/>
      <c r="AF119" s="24"/>
      <c r="AG119" s="24"/>
      <c r="AH119" s="24"/>
      <c r="AI119" s="24"/>
      <c r="AJ119"/>
      <c r="AK119"/>
      <c r="AL119"/>
      <c r="AM119" s="104"/>
      <c r="AN119" s="104"/>
      <c r="AO119" s="104"/>
      <c r="AP119" s="104"/>
      <c r="AQ119" s="104"/>
      <c r="AR119"/>
      <c r="AS119" s="24"/>
      <c r="AT119" s="24"/>
      <c r="AU119" s="24"/>
      <c r="AV119" s="24"/>
      <c r="AW119" s="24"/>
      <c r="AX119" s="24"/>
      <c r="AY119" s="24"/>
      <c r="AZ119" s="24"/>
      <c r="BA119" s="24"/>
      <c r="BB119" s="24"/>
      <c r="BC119" s="24"/>
      <c r="BD119" s="24"/>
      <c r="BE119" s="24"/>
      <c r="BF119" s="24"/>
      <c r="BG119" s="24"/>
      <c r="BH119" s="24"/>
      <c r="BI119" s="24"/>
      <c r="BJ119" s="24"/>
    </row>
    <row r="120" spans="8:62" ht="12.75" x14ac:dyDescent="0.2">
      <c r="H120" s="24"/>
      <c r="I120" s="24"/>
      <c r="J120" s="24"/>
      <c r="K120" s="24"/>
      <c r="L120" s="24"/>
      <c r="M120" s="24"/>
      <c r="N120" s="24"/>
      <c r="O120" s="24"/>
      <c r="P120" s="105"/>
      <c r="Q120" s="24"/>
      <c r="R120" s="24"/>
      <c r="S120" s="77"/>
      <c r="T120" s="108">
        <v>18</v>
      </c>
      <c r="U120" s="80">
        <v>3</v>
      </c>
      <c r="V120" s="111">
        <v>15</v>
      </c>
      <c r="W120" s="24">
        <v>4</v>
      </c>
      <c r="X120" s="108">
        <v>11.2</v>
      </c>
      <c r="Y120" s="24">
        <v>3</v>
      </c>
      <c r="Z120" s="110">
        <v>14.1</v>
      </c>
      <c r="AA120" s="24">
        <v>4</v>
      </c>
      <c r="AB120" s="112"/>
      <c r="AC120" s="77"/>
      <c r="AD120" s="77"/>
      <c r="AE120" s="24"/>
      <c r="AF120" s="24"/>
      <c r="AG120" s="24"/>
      <c r="AH120" s="24"/>
      <c r="AI120" s="24"/>
      <c r="AJ120"/>
      <c r="AK120"/>
      <c r="AL120"/>
      <c r="AM120" s="104"/>
      <c r="AN120" s="104"/>
      <c r="AO120" s="104"/>
      <c r="AP120" s="104"/>
      <c r="AQ120" s="104"/>
      <c r="AR120"/>
      <c r="AS120" s="24"/>
      <c r="AT120" s="24"/>
      <c r="AU120" s="24"/>
      <c r="AV120" s="24"/>
      <c r="AW120" s="24"/>
      <c r="AX120" s="24"/>
      <c r="AY120" s="24"/>
      <c r="AZ120" s="24"/>
      <c r="BA120" s="24"/>
      <c r="BB120" s="24"/>
      <c r="BC120" s="24"/>
      <c r="BD120" s="24"/>
      <c r="BE120" s="24"/>
      <c r="BF120" s="24"/>
      <c r="BG120" s="24"/>
      <c r="BH120" s="24"/>
      <c r="BI120" s="24"/>
      <c r="BJ120" s="24"/>
    </row>
    <row r="121" spans="8:62" ht="12.75" x14ac:dyDescent="0.2">
      <c r="H121" s="24"/>
      <c r="I121" s="24"/>
      <c r="J121" s="24"/>
      <c r="K121" s="24"/>
      <c r="L121" s="24"/>
      <c r="M121" s="24"/>
      <c r="N121" s="24"/>
      <c r="O121" s="24"/>
      <c r="P121" s="105"/>
      <c r="Q121" s="24"/>
      <c r="R121" s="24"/>
      <c r="S121" s="77"/>
      <c r="T121" s="108">
        <v>19</v>
      </c>
      <c r="U121" s="80">
        <v>4</v>
      </c>
      <c r="V121" s="111">
        <v>16</v>
      </c>
      <c r="W121" s="77">
        <v>4</v>
      </c>
      <c r="X121" s="108">
        <v>11.3</v>
      </c>
      <c r="Y121" s="24">
        <v>3</v>
      </c>
      <c r="Z121" s="112">
        <v>14.2</v>
      </c>
      <c r="AA121" s="24">
        <v>4</v>
      </c>
      <c r="AB121" s="112"/>
      <c r="AC121" s="77"/>
      <c r="AD121" s="77"/>
      <c r="AE121" s="24"/>
      <c r="AF121" s="24"/>
      <c r="AG121" s="24"/>
      <c r="AH121" s="24"/>
      <c r="AI121" s="24"/>
      <c r="AJ121"/>
      <c r="AK121"/>
      <c r="AL121"/>
      <c r="AM121" s="104"/>
      <c r="AN121" s="104"/>
      <c r="AO121" s="104"/>
      <c r="AP121" s="104"/>
      <c r="AQ121" s="104"/>
      <c r="AR121"/>
      <c r="AS121" s="24"/>
      <c r="AT121" s="24"/>
      <c r="AU121" s="24"/>
      <c r="AV121" s="24"/>
      <c r="AW121" s="24"/>
      <c r="AX121" s="24"/>
      <c r="AY121" s="24"/>
      <c r="AZ121" s="24"/>
      <c r="BA121" s="24"/>
      <c r="BB121" s="24"/>
      <c r="BC121" s="24"/>
      <c r="BD121" s="24"/>
      <c r="BE121" s="24"/>
      <c r="BF121" s="24"/>
      <c r="BG121" s="24"/>
      <c r="BH121" s="24"/>
      <c r="BI121" s="24"/>
      <c r="BJ121" s="24"/>
    </row>
    <row r="122" spans="8:62" ht="12.75" x14ac:dyDescent="0.2">
      <c r="H122" s="24"/>
      <c r="I122" s="24"/>
      <c r="J122" s="24"/>
      <c r="K122" s="24"/>
      <c r="L122" s="24"/>
      <c r="M122" s="24"/>
      <c r="N122" s="24"/>
      <c r="O122" s="24"/>
      <c r="P122" s="105"/>
      <c r="Q122" s="24"/>
      <c r="R122" s="24"/>
      <c r="S122" s="77"/>
      <c r="T122" s="108">
        <v>20</v>
      </c>
      <c r="U122" s="80">
        <v>5</v>
      </c>
      <c r="V122" s="111">
        <v>17</v>
      </c>
      <c r="W122" s="24">
        <v>5</v>
      </c>
      <c r="X122" s="108">
        <v>11.4</v>
      </c>
      <c r="Y122" s="24">
        <v>3</v>
      </c>
      <c r="Z122" s="110">
        <v>14.3</v>
      </c>
      <c r="AA122" s="24">
        <v>4</v>
      </c>
      <c r="AB122" s="112"/>
      <c r="AC122" s="77"/>
      <c r="AD122" s="77"/>
      <c r="AE122" s="24"/>
      <c r="AF122" s="24"/>
      <c r="AG122" s="24"/>
      <c r="AH122" s="24"/>
      <c r="AI122" s="24"/>
      <c r="AJ122"/>
      <c r="AK122"/>
      <c r="AL122"/>
      <c r="AM122" s="104"/>
      <c r="AN122" s="104"/>
      <c r="AO122" s="104"/>
      <c r="AP122" s="104"/>
      <c r="AQ122" s="104"/>
      <c r="AR122"/>
      <c r="AS122" s="24"/>
      <c r="AT122" s="24"/>
      <c r="AU122" s="24"/>
      <c r="AV122" s="24"/>
      <c r="AW122" s="24"/>
      <c r="AX122" s="24"/>
      <c r="AY122" s="24"/>
      <c r="AZ122" s="24"/>
      <c r="BA122" s="24"/>
      <c r="BB122" s="24"/>
      <c r="BC122" s="24"/>
      <c r="BD122" s="24"/>
      <c r="BE122" s="24"/>
      <c r="BF122" s="24"/>
      <c r="BG122" s="24"/>
      <c r="BH122" s="24"/>
      <c r="BI122" s="24"/>
      <c r="BJ122" s="24"/>
    </row>
    <row r="123" spans="8:62" ht="12.75" x14ac:dyDescent="0.2">
      <c r="H123" s="24"/>
      <c r="I123" s="24"/>
      <c r="J123" s="24"/>
      <c r="K123" s="24"/>
      <c r="L123" s="24"/>
      <c r="M123" s="24"/>
      <c r="N123" s="24"/>
      <c r="O123" s="24"/>
      <c r="P123" s="113"/>
      <c r="Q123" s="24"/>
      <c r="R123" s="24"/>
      <c r="S123" s="77"/>
      <c r="T123" s="108">
        <v>21</v>
      </c>
      <c r="U123" s="24">
        <v>6</v>
      </c>
      <c r="V123" s="111">
        <v>18</v>
      </c>
      <c r="W123" s="77">
        <v>5</v>
      </c>
      <c r="X123" s="108">
        <v>11.5</v>
      </c>
      <c r="Y123" s="24">
        <v>3</v>
      </c>
      <c r="Z123" s="112">
        <v>14.4</v>
      </c>
      <c r="AA123" s="24">
        <v>4</v>
      </c>
      <c r="AB123" s="112"/>
      <c r="AC123" s="77"/>
      <c r="AD123" s="24"/>
      <c r="AE123" s="24"/>
      <c r="AF123" s="24"/>
      <c r="AG123" s="24"/>
      <c r="AH123" s="24"/>
      <c r="AI123" s="24"/>
      <c r="AJ123"/>
      <c r="AK123"/>
      <c r="AL123"/>
      <c r="AM123" s="104"/>
      <c r="AN123" s="104"/>
      <c r="AO123" s="104"/>
      <c r="AP123" s="104"/>
      <c r="AQ123" s="104"/>
      <c r="AR123"/>
      <c r="AS123" s="24"/>
      <c r="AT123" s="24"/>
      <c r="AU123" s="24"/>
      <c r="AV123" s="24"/>
      <c r="AW123" s="24"/>
      <c r="AX123" s="24"/>
      <c r="AY123" s="24"/>
      <c r="AZ123" s="24"/>
      <c r="BA123" s="24"/>
      <c r="BB123" s="24"/>
      <c r="BC123" s="24"/>
      <c r="BD123" s="24"/>
      <c r="BE123" s="24"/>
      <c r="BF123" s="24"/>
      <c r="BG123" s="24"/>
      <c r="BH123" s="24"/>
      <c r="BI123" s="24"/>
      <c r="BJ123" s="24"/>
    </row>
    <row r="124" spans="8:62" ht="12.75" x14ac:dyDescent="0.2">
      <c r="H124" s="24"/>
      <c r="I124" s="24"/>
      <c r="J124" s="24"/>
      <c r="K124" s="24"/>
      <c r="L124" s="24"/>
      <c r="M124" s="24"/>
      <c r="N124" s="24"/>
      <c r="O124" s="24"/>
      <c r="P124" s="113"/>
      <c r="Q124" s="24"/>
      <c r="R124" s="24"/>
      <c r="S124" s="77"/>
      <c r="T124" s="108">
        <v>22</v>
      </c>
      <c r="U124" s="80">
        <v>6</v>
      </c>
      <c r="V124" s="111">
        <v>19</v>
      </c>
      <c r="W124" s="24">
        <v>6</v>
      </c>
      <c r="X124" s="108">
        <v>11.6</v>
      </c>
      <c r="Y124" s="24">
        <v>3</v>
      </c>
      <c r="Z124" s="110">
        <v>14.5</v>
      </c>
      <c r="AA124" s="77">
        <v>4</v>
      </c>
      <c r="AB124" s="77"/>
      <c r="AC124" s="24"/>
      <c r="AD124" s="24"/>
      <c r="AE124" s="24"/>
      <c r="AF124" s="24"/>
      <c r="AG124" s="24"/>
      <c r="AH124" s="24"/>
      <c r="AI124" s="24"/>
      <c r="AJ124"/>
      <c r="AK124"/>
      <c r="AL124"/>
      <c r="AM124" s="104"/>
      <c r="AN124" s="104"/>
      <c r="AO124" s="104"/>
      <c r="AP124" s="104"/>
      <c r="AQ124" s="104"/>
      <c r="AR124"/>
      <c r="AS124" s="24"/>
      <c r="AT124" s="24"/>
      <c r="AU124" s="24"/>
      <c r="AV124" s="24"/>
      <c r="AW124" s="24"/>
      <c r="AX124" s="24"/>
      <c r="AY124" s="24"/>
      <c r="AZ124" s="24"/>
      <c r="BA124" s="24"/>
      <c r="BB124" s="24"/>
      <c r="BC124" s="24"/>
      <c r="BD124" s="24"/>
      <c r="BE124" s="24"/>
      <c r="BF124" s="24"/>
      <c r="BG124" s="24"/>
      <c r="BH124" s="24"/>
      <c r="BI124" s="24"/>
      <c r="BJ124" s="24"/>
    </row>
    <row r="125" spans="8:62" ht="12.75" x14ac:dyDescent="0.2">
      <c r="H125" s="24"/>
      <c r="I125" s="24"/>
      <c r="J125" s="24"/>
      <c r="K125" s="24"/>
      <c r="L125" s="24"/>
      <c r="M125" s="24"/>
      <c r="N125" s="24"/>
      <c r="O125" s="24"/>
      <c r="P125" s="114"/>
      <c r="Q125" s="24"/>
      <c r="R125" s="24"/>
      <c r="S125" s="77"/>
      <c r="T125" s="108">
        <v>22</v>
      </c>
      <c r="U125" s="24">
        <v>7</v>
      </c>
      <c r="V125" s="111">
        <v>20</v>
      </c>
      <c r="W125" s="77">
        <v>6</v>
      </c>
      <c r="X125" s="108">
        <v>11.7</v>
      </c>
      <c r="Y125" s="24">
        <v>3</v>
      </c>
      <c r="Z125" s="112">
        <v>14.6</v>
      </c>
      <c r="AA125" s="77">
        <v>4</v>
      </c>
      <c r="AB125" s="77"/>
      <c r="AC125" s="24"/>
      <c r="AD125" s="24"/>
      <c r="AE125" s="24"/>
      <c r="AF125" s="24"/>
      <c r="AG125" s="24"/>
      <c r="AH125" s="24"/>
      <c r="AI125" s="24"/>
      <c r="AJ125"/>
      <c r="AK125"/>
      <c r="AL125"/>
      <c r="AM125" s="104"/>
      <c r="AN125" s="104"/>
      <c r="AO125" s="104"/>
      <c r="AP125" s="104"/>
      <c r="AQ125" s="104"/>
      <c r="AR125"/>
      <c r="AS125" s="24"/>
      <c r="AT125" s="24"/>
      <c r="AU125" s="24"/>
      <c r="AV125" s="24"/>
      <c r="AW125" s="24"/>
      <c r="AX125" s="24"/>
      <c r="AY125" s="24"/>
      <c r="AZ125" s="24"/>
      <c r="BA125" s="24"/>
      <c r="BB125" s="24"/>
      <c r="BC125" s="24"/>
      <c r="BD125" s="24"/>
      <c r="BE125" s="24"/>
      <c r="BF125" s="24"/>
      <c r="BG125" s="24"/>
      <c r="BH125" s="24"/>
      <c r="BI125" s="24"/>
      <c r="BJ125" s="24"/>
    </row>
    <row r="126" spans="8:62" ht="12.75" x14ac:dyDescent="0.2">
      <c r="H126" s="24"/>
      <c r="I126" s="24"/>
      <c r="J126" s="24"/>
      <c r="K126" s="24"/>
      <c r="L126" s="24"/>
      <c r="M126" s="24"/>
      <c r="N126" s="24"/>
      <c r="O126" s="24"/>
      <c r="P126" s="24"/>
      <c r="Q126" s="24"/>
      <c r="R126" s="24"/>
      <c r="S126" s="77"/>
      <c r="T126" s="108">
        <v>24</v>
      </c>
      <c r="U126" s="80">
        <v>7</v>
      </c>
      <c r="V126" s="111">
        <v>21</v>
      </c>
      <c r="W126" s="24">
        <v>7</v>
      </c>
      <c r="X126" s="108">
        <v>11.8</v>
      </c>
      <c r="Y126" s="24">
        <v>3</v>
      </c>
      <c r="Z126" s="110">
        <v>14.7</v>
      </c>
      <c r="AA126" s="77">
        <v>4</v>
      </c>
      <c r="AB126" s="77"/>
      <c r="AC126" s="24"/>
      <c r="AD126" s="24"/>
      <c r="AE126" s="24"/>
      <c r="AF126" s="24"/>
      <c r="AG126" s="24"/>
      <c r="AH126" s="24"/>
      <c r="AI126" s="24"/>
      <c r="AJ126"/>
      <c r="AK126"/>
      <c r="AL126"/>
      <c r="AM126" s="104"/>
      <c r="AN126" s="104"/>
      <c r="AO126" s="104"/>
      <c r="AP126" s="104"/>
      <c r="AQ126" s="104"/>
      <c r="AR126"/>
      <c r="AS126" s="24"/>
      <c r="AT126" s="24"/>
      <c r="AU126" s="24"/>
      <c r="AV126" s="24"/>
      <c r="AW126" s="24"/>
      <c r="AX126" s="24"/>
      <c r="AY126" s="24"/>
      <c r="AZ126" s="24"/>
      <c r="BA126" s="24"/>
      <c r="BB126" s="24"/>
      <c r="BC126" s="24"/>
      <c r="BD126" s="24"/>
      <c r="BE126" s="24"/>
      <c r="BF126" s="24"/>
      <c r="BG126" s="24"/>
      <c r="BH126" s="24"/>
      <c r="BI126" s="24"/>
      <c r="BJ126" s="24"/>
    </row>
    <row r="127" spans="8:62" ht="12.75" x14ac:dyDescent="0.2">
      <c r="H127" s="24"/>
      <c r="I127" s="24"/>
      <c r="J127" s="24"/>
      <c r="K127" s="24"/>
      <c r="L127" s="24"/>
      <c r="M127" s="24"/>
      <c r="N127" s="24"/>
      <c r="O127" s="24"/>
      <c r="P127" s="24"/>
      <c r="Q127" s="24"/>
      <c r="R127" s="24"/>
      <c r="S127" s="24"/>
      <c r="T127" s="108">
        <v>25</v>
      </c>
      <c r="U127" s="80">
        <v>8</v>
      </c>
      <c r="V127" s="111">
        <v>22</v>
      </c>
      <c r="W127" s="77">
        <v>7</v>
      </c>
      <c r="X127" s="108">
        <v>11.9</v>
      </c>
      <c r="Y127" s="24">
        <v>3</v>
      </c>
      <c r="Z127" s="112">
        <v>14.8</v>
      </c>
      <c r="AA127" s="24">
        <v>4</v>
      </c>
      <c r="AB127" s="24"/>
      <c r="AC127" s="24"/>
      <c r="AD127" s="24"/>
      <c r="AE127" s="24"/>
      <c r="AF127" s="24"/>
      <c r="AG127" s="24"/>
      <c r="AH127" s="24"/>
      <c r="AI127" s="24"/>
      <c r="AJ127"/>
      <c r="AK127"/>
      <c r="AL127"/>
      <c r="AM127" s="104"/>
      <c r="AN127" s="104"/>
      <c r="AO127" s="104"/>
      <c r="AP127" s="104"/>
      <c r="AQ127" s="104"/>
      <c r="AR127"/>
      <c r="AS127" s="24"/>
      <c r="AT127" s="24"/>
      <c r="AU127" s="24"/>
      <c r="AV127" s="24"/>
      <c r="AW127" s="24"/>
      <c r="AX127" s="24"/>
      <c r="AY127" s="24"/>
      <c r="AZ127" s="24"/>
      <c r="BA127" s="24"/>
      <c r="BB127" s="24"/>
      <c r="BC127" s="24"/>
      <c r="BD127" s="24"/>
      <c r="BE127" s="24"/>
      <c r="BF127" s="24"/>
      <c r="BG127" s="24"/>
      <c r="BH127" s="24"/>
      <c r="BI127" s="24"/>
      <c r="BJ127" s="24"/>
    </row>
    <row r="128" spans="8:62" ht="12.75" x14ac:dyDescent="0.2">
      <c r="H128" s="24"/>
      <c r="I128" s="24"/>
      <c r="J128" s="24"/>
      <c r="K128" s="24"/>
      <c r="L128" s="24"/>
      <c r="M128" s="24"/>
      <c r="N128" s="24"/>
      <c r="O128" s="24"/>
      <c r="P128" s="24"/>
      <c r="Q128" s="24"/>
      <c r="R128" s="24"/>
      <c r="S128" s="24"/>
      <c r="T128" s="24"/>
      <c r="U128" s="24"/>
      <c r="V128" s="111">
        <v>23</v>
      </c>
      <c r="W128" s="24">
        <v>8</v>
      </c>
      <c r="X128" s="108">
        <v>12</v>
      </c>
      <c r="Y128" s="24">
        <v>3</v>
      </c>
      <c r="Z128" s="110">
        <v>14.9</v>
      </c>
      <c r="AA128" s="24">
        <v>4</v>
      </c>
      <c r="AB128" s="24"/>
      <c r="AC128" s="24"/>
      <c r="AD128" s="24"/>
      <c r="AE128" s="24"/>
      <c r="AF128" s="24"/>
      <c r="AG128" s="24"/>
      <c r="AH128" s="24"/>
      <c r="AI128" s="24"/>
      <c r="AJ128"/>
      <c r="AK128"/>
      <c r="AL128"/>
      <c r="AM128" s="104"/>
      <c r="AN128" s="104"/>
      <c r="AO128" s="104"/>
      <c r="AP128" s="104"/>
      <c r="AQ128" s="104"/>
      <c r="AR128"/>
      <c r="AS128" s="24"/>
      <c r="AT128" s="24"/>
      <c r="AU128" s="24"/>
      <c r="AV128" s="24"/>
      <c r="AW128" s="24"/>
      <c r="AX128" s="24"/>
      <c r="AY128" s="24"/>
      <c r="AZ128" s="24"/>
      <c r="BA128" s="24"/>
      <c r="BB128" s="24"/>
      <c r="BC128" s="24"/>
      <c r="BD128" s="24"/>
      <c r="BE128" s="24"/>
      <c r="BF128" s="24"/>
      <c r="BG128" s="24"/>
      <c r="BH128" s="24"/>
      <c r="BI128" s="24"/>
      <c r="BJ128" s="24"/>
    </row>
    <row r="129" spans="20:27" x14ac:dyDescent="0.2">
      <c r="T129" s="24"/>
      <c r="U129" s="24"/>
      <c r="V129" s="111">
        <v>24</v>
      </c>
      <c r="W129" s="77">
        <v>8</v>
      </c>
      <c r="X129" s="108">
        <v>12.1</v>
      </c>
      <c r="Y129" s="24">
        <v>3</v>
      </c>
      <c r="Z129" s="112">
        <v>15</v>
      </c>
      <c r="AA129" s="24">
        <v>5</v>
      </c>
    </row>
    <row r="130" spans="20:27" x14ac:dyDescent="0.2">
      <c r="T130" s="24"/>
      <c r="U130" s="24"/>
      <c r="V130" s="109">
        <v>25</v>
      </c>
      <c r="W130" s="77">
        <v>9</v>
      </c>
      <c r="X130" s="108">
        <v>12.2</v>
      </c>
      <c r="Y130" s="24">
        <v>3</v>
      </c>
      <c r="Z130" s="110">
        <v>15.1</v>
      </c>
      <c r="AA130" s="24">
        <v>5</v>
      </c>
    </row>
    <row r="131" spans="20:27" x14ac:dyDescent="0.2">
      <c r="T131" s="24"/>
      <c r="U131" s="24"/>
      <c r="V131" s="24"/>
      <c r="W131" s="24"/>
      <c r="X131" s="108">
        <v>12.3</v>
      </c>
      <c r="Y131" s="24">
        <v>3</v>
      </c>
      <c r="Z131" s="112">
        <v>15.2</v>
      </c>
      <c r="AA131" s="24">
        <v>5</v>
      </c>
    </row>
    <row r="132" spans="20:27" x14ac:dyDescent="0.2">
      <c r="T132" s="24"/>
      <c r="U132" s="24"/>
      <c r="V132" s="24"/>
      <c r="W132" s="24"/>
      <c r="X132" s="108">
        <v>12.4</v>
      </c>
      <c r="Y132" s="24">
        <v>3</v>
      </c>
      <c r="Z132" s="110">
        <v>15.3</v>
      </c>
      <c r="AA132" s="24">
        <v>5</v>
      </c>
    </row>
    <row r="133" spans="20:27" x14ac:dyDescent="0.2">
      <c r="T133" s="24"/>
      <c r="U133" s="24"/>
      <c r="V133" s="24"/>
      <c r="W133" s="24"/>
      <c r="X133" s="108">
        <v>12.5</v>
      </c>
      <c r="Y133" s="24">
        <v>4</v>
      </c>
      <c r="Z133" s="112">
        <v>15.4</v>
      </c>
      <c r="AA133" s="24">
        <v>5</v>
      </c>
    </row>
    <row r="134" spans="20:27" x14ac:dyDescent="0.2">
      <c r="T134" s="24"/>
      <c r="U134" s="24"/>
      <c r="V134" s="24"/>
      <c r="W134" s="24"/>
      <c r="X134" s="108">
        <v>12.6</v>
      </c>
      <c r="Y134" s="24">
        <v>4</v>
      </c>
      <c r="Z134" s="110">
        <v>15.5</v>
      </c>
      <c r="AA134" s="24">
        <v>5</v>
      </c>
    </row>
    <row r="135" spans="20:27" x14ac:dyDescent="0.2">
      <c r="T135" s="24"/>
      <c r="U135" s="24"/>
      <c r="V135" s="24"/>
      <c r="W135" s="24"/>
      <c r="X135" s="108">
        <v>12.7</v>
      </c>
      <c r="Y135" s="24">
        <v>4</v>
      </c>
      <c r="Z135" s="112">
        <v>15.6</v>
      </c>
      <c r="AA135" s="24">
        <v>5</v>
      </c>
    </row>
    <row r="136" spans="20:27" x14ac:dyDescent="0.2">
      <c r="T136" s="24"/>
      <c r="U136" s="24"/>
      <c r="V136" s="24"/>
      <c r="W136" s="24"/>
      <c r="X136" s="108">
        <v>12.8</v>
      </c>
      <c r="Y136" s="24">
        <v>4</v>
      </c>
      <c r="Z136" s="110">
        <v>15.7</v>
      </c>
      <c r="AA136" s="24">
        <v>5</v>
      </c>
    </row>
    <row r="137" spans="20:27" x14ac:dyDescent="0.2">
      <c r="T137" s="24"/>
      <c r="U137" s="24"/>
      <c r="V137" s="24"/>
      <c r="W137" s="24"/>
      <c r="X137" s="108">
        <v>12.9</v>
      </c>
      <c r="Y137" s="24">
        <v>4</v>
      </c>
      <c r="Z137" s="112">
        <v>15.8</v>
      </c>
      <c r="AA137" s="24">
        <v>5</v>
      </c>
    </row>
    <row r="138" spans="20:27" x14ac:dyDescent="0.2">
      <c r="T138" s="24"/>
      <c r="U138" s="24"/>
      <c r="V138" s="24"/>
      <c r="W138" s="24"/>
      <c r="X138" s="108">
        <v>13</v>
      </c>
      <c r="Y138" s="24">
        <v>4</v>
      </c>
      <c r="Z138" s="110">
        <v>15.9</v>
      </c>
      <c r="AA138" s="24">
        <v>5</v>
      </c>
    </row>
    <row r="139" spans="20:27" x14ac:dyDescent="0.2">
      <c r="T139" s="24"/>
      <c r="U139" s="24"/>
      <c r="V139" s="24"/>
      <c r="W139" s="24"/>
      <c r="X139" s="108">
        <v>13.1</v>
      </c>
      <c r="Y139" s="24">
        <v>4</v>
      </c>
      <c r="Z139" s="112">
        <v>16</v>
      </c>
      <c r="AA139" s="24">
        <v>5</v>
      </c>
    </row>
    <row r="140" spans="20:27" x14ac:dyDescent="0.2">
      <c r="T140" s="24"/>
      <c r="U140" s="24"/>
      <c r="V140" s="24"/>
      <c r="W140" s="24"/>
      <c r="X140" s="108">
        <v>13.2</v>
      </c>
      <c r="Y140" s="24">
        <v>4</v>
      </c>
      <c r="Z140" s="110">
        <v>16.100000000000001</v>
      </c>
      <c r="AA140" s="24">
        <v>5</v>
      </c>
    </row>
    <row r="141" spans="20:27" x14ac:dyDescent="0.2">
      <c r="T141" s="24"/>
      <c r="U141" s="24"/>
      <c r="V141" s="24"/>
      <c r="W141" s="24"/>
      <c r="X141" s="108">
        <v>13.3</v>
      </c>
      <c r="Y141" s="24">
        <v>4</v>
      </c>
      <c r="Z141" s="112">
        <v>16.2</v>
      </c>
      <c r="AA141" s="24">
        <v>5</v>
      </c>
    </row>
    <row r="142" spans="20:27" x14ac:dyDescent="0.2">
      <c r="T142" s="24"/>
      <c r="U142" s="24"/>
      <c r="V142" s="24"/>
      <c r="W142" s="24"/>
      <c r="X142" s="108">
        <v>13.4</v>
      </c>
      <c r="Y142" s="24">
        <v>4</v>
      </c>
      <c r="Z142" s="110">
        <v>16.3</v>
      </c>
      <c r="AA142" s="24">
        <v>5</v>
      </c>
    </row>
    <row r="143" spans="20:27" x14ac:dyDescent="0.2">
      <c r="T143" s="24"/>
      <c r="U143" s="24"/>
      <c r="V143" s="24"/>
      <c r="W143" s="24"/>
      <c r="X143" s="108">
        <v>13.5</v>
      </c>
      <c r="Y143" s="24">
        <v>4</v>
      </c>
      <c r="Z143" s="112">
        <v>16.399999999999999</v>
      </c>
      <c r="AA143" s="24">
        <v>5</v>
      </c>
    </row>
    <row r="144" spans="20:27" x14ac:dyDescent="0.2">
      <c r="T144" s="24"/>
      <c r="U144" s="24"/>
      <c r="V144" s="24"/>
      <c r="W144" s="24"/>
      <c r="X144" s="108">
        <v>13.6</v>
      </c>
      <c r="Y144" s="24">
        <v>4</v>
      </c>
      <c r="Z144" s="110">
        <v>16.5</v>
      </c>
      <c r="AA144" s="24">
        <v>5</v>
      </c>
    </row>
    <row r="145" spans="24:27" x14ac:dyDescent="0.2">
      <c r="X145" s="108">
        <v>13.7</v>
      </c>
      <c r="Y145" s="24">
        <v>4</v>
      </c>
      <c r="Z145" s="112">
        <v>16.600000000000001</v>
      </c>
      <c r="AA145" s="24">
        <v>5</v>
      </c>
    </row>
    <row r="146" spans="24:27" x14ac:dyDescent="0.2">
      <c r="X146" s="108">
        <v>13.8</v>
      </c>
      <c r="Y146" s="24">
        <v>4</v>
      </c>
      <c r="Z146" s="110">
        <v>16.7</v>
      </c>
      <c r="AA146" s="24">
        <v>5</v>
      </c>
    </row>
    <row r="147" spans="24:27" x14ac:dyDescent="0.2">
      <c r="X147" s="108">
        <v>13.9</v>
      </c>
      <c r="Y147" s="24">
        <v>4</v>
      </c>
      <c r="Z147" s="112">
        <v>16.8</v>
      </c>
      <c r="AA147" s="24">
        <v>5</v>
      </c>
    </row>
    <row r="148" spans="24:27" x14ac:dyDescent="0.2">
      <c r="X148" s="108">
        <v>14</v>
      </c>
      <c r="Y148" s="24">
        <v>5</v>
      </c>
      <c r="Z148" s="110">
        <v>16.899999999999999</v>
      </c>
      <c r="AA148" s="24">
        <v>5</v>
      </c>
    </row>
    <row r="149" spans="24:27" x14ac:dyDescent="0.2">
      <c r="X149" s="108">
        <v>14.1</v>
      </c>
      <c r="Y149" s="24">
        <v>5</v>
      </c>
      <c r="Z149" s="112">
        <v>17</v>
      </c>
      <c r="AA149" s="24">
        <v>6</v>
      </c>
    </row>
    <row r="150" spans="24:27" x14ac:dyDescent="0.2">
      <c r="X150" s="108">
        <v>14.2</v>
      </c>
      <c r="Y150" s="24">
        <v>5</v>
      </c>
      <c r="Z150" s="110">
        <v>17.100000000000001</v>
      </c>
      <c r="AA150" s="24">
        <v>6</v>
      </c>
    </row>
    <row r="151" spans="24:27" x14ac:dyDescent="0.2">
      <c r="X151" s="108">
        <v>14.3</v>
      </c>
      <c r="Y151" s="24">
        <v>5</v>
      </c>
      <c r="Z151" s="112">
        <v>17.2</v>
      </c>
      <c r="AA151" s="24">
        <v>6</v>
      </c>
    </row>
    <row r="152" spans="24:27" x14ac:dyDescent="0.2">
      <c r="X152" s="108">
        <v>14.4</v>
      </c>
      <c r="Y152" s="24">
        <v>5</v>
      </c>
      <c r="Z152" s="110">
        <v>17.3</v>
      </c>
      <c r="AA152" s="24">
        <v>6</v>
      </c>
    </row>
    <row r="153" spans="24:27" x14ac:dyDescent="0.2">
      <c r="X153" s="108">
        <v>14.5</v>
      </c>
      <c r="Y153" s="24">
        <v>5</v>
      </c>
      <c r="Z153" s="112">
        <v>17.399999999999999</v>
      </c>
      <c r="AA153" s="24">
        <v>6</v>
      </c>
    </row>
    <row r="154" spans="24:27" x14ac:dyDescent="0.2">
      <c r="X154" s="108">
        <v>14.6</v>
      </c>
      <c r="Y154" s="24">
        <v>5</v>
      </c>
      <c r="Z154" s="110">
        <v>17.5</v>
      </c>
      <c r="AA154" s="24">
        <v>6</v>
      </c>
    </row>
    <row r="155" spans="24:27" x14ac:dyDescent="0.2">
      <c r="X155" s="108">
        <v>14.7</v>
      </c>
      <c r="Y155" s="24">
        <v>5</v>
      </c>
      <c r="Z155" s="112">
        <v>17.600000000000001</v>
      </c>
      <c r="AA155" s="24">
        <v>6</v>
      </c>
    </row>
    <row r="156" spans="24:27" x14ac:dyDescent="0.2">
      <c r="X156" s="108">
        <v>14.8</v>
      </c>
      <c r="Y156" s="24">
        <v>5</v>
      </c>
      <c r="Z156" s="110">
        <v>17.7</v>
      </c>
      <c r="AA156" s="24">
        <v>6</v>
      </c>
    </row>
    <row r="157" spans="24:27" x14ac:dyDescent="0.2">
      <c r="X157" s="108">
        <v>14.9</v>
      </c>
      <c r="Y157" s="24">
        <v>5</v>
      </c>
      <c r="Z157" s="112">
        <v>17.8</v>
      </c>
      <c r="AA157" s="24">
        <v>6</v>
      </c>
    </row>
    <row r="158" spans="24:27" x14ac:dyDescent="0.2">
      <c r="X158" s="108">
        <v>15</v>
      </c>
      <c r="Y158" s="24">
        <v>5</v>
      </c>
      <c r="Z158" s="110">
        <v>17.899999999999999</v>
      </c>
      <c r="AA158" s="24">
        <v>6</v>
      </c>
    </row>
    <row r="159" spans="24:27" x14ac:dyDescent="0.2">
      <c r="X159" s="108">
        <v>15.1</v>
      </c>
      <c r="Y159" s="24">
        <v>5</v>
      </c>
      <c r="Z159" s="112">
        <v>18</v>
      </c>
      <c r="AA159" s="24">
        <v>6</v>
      </c>
    </row>
    <row r="160" spans="24:27" x14ac:dyDescent="0.2">
      <c r="X160" s="108">
        <v>15.2</v>
      </c>
      <c r="Y160" s="24">
        <v>5</v>
      </c>
      <c r="Z160" s="110">
        <v>18.100000000000001</v>
      </c>
      <c r="AA160" s="24">
        <v>6</v>
      </c>
    </row>
    <row r="161" spans="24:27" x14ac:dyDescent="0.2">
      <c r="X161" s="108">
        <v>15.3</v>
      </c>
      <c r="Y161" s="24">
        <v>5</v>
      </c>
      <c r="Z161" s="112">
        <v>18.2</v>
      </c>
      <c r="AA161" s="24">
        <v>6</v>
      </c>
    </row>
    <row r="162" spans="24:27" x14ac:dyDescent="0.2">
      <c r="X162" s="108">
        <v>15.4</v>
      </c>
      <c r="Y162" s="24">
        <v>5</v>
      </c>
      <c r="Z162" s="110">
        <v>18.3</v>
      </c>
      <c r="AA162" s="24">
        <v>6</v>
      </c>
    </row>
    <row r="163" spans="24:27" x14ac:dyDescent="0.2">
      <c r="X163" s="108">
        <v>15.5</v>
      </c>
      <c r="Y163" s="24">
        <v>5</v>
      </c>
      <c r="Z163" s="112">
        <v>18.399999999999999</v>
      </c>
      <c r="AA163" s="24">
        <v>6</v>
      </c>
    </row>
    <row r="164" spans="24:27" x14ac:dyDescent="0.2">
      <c r="X164" s="108">
        <v>15.6</v>
      </c>
      <c r="Y164" s="24">
        <v>5</v>
      </c>
      <c r="Z164" s="110">
        <v>18.5</v>
      </c>
      <c r="AA164" s="24">
        <v>6</v>
      </c>
    </row>
    <row r="165" spans="24:27" x14ac:dyDescent="0.2">
      <c r="X165" s="108">
        <v>15.7</v>
      </c>
      <c r="Y165" s="24">
        <v>6</v>
      </c>
      <c r="Z165" s="112">
        <v>18.600000000000001</v>
      </c>
      <c r="AA165" s="24">
        <v>6</v>
      </c>
    </row>
    <row r="166" spans="24:27" x14ac:dyDescent="0.2">
      <c r="X166" s="108">
        <v>15.8</v>
      </c>
      <c r="Y166" s="24">
        <v>6</v>
      </c>
      <c r="Z166" s="110">
        <v>18.7</v>
      </c>
      <c r="AA166" s="24">
        <v>6</v>
      </c>
    </row>
    <row r="167" spans="24:27" x14ac:dyDescent="0.2">
      <c r="X167" s="108">
        <v>15.9</v>
      </c>
      <c r="Y167" s="24">
        <v>6</v>
      </c>
      <c r="Z167" s="112">
        <v>18.8</v>
      </c>
      <c r="AA167" s="24">
        <v>6</v>
      </c>
    </row>
    <row r="168" spans="24:27" x14ac:dyDescent="0.2">
      <c r="X168" s="108">
        <v>16</v>
      </c>
      <c r="Y168" s="24">
        <v>6</v>
      </c>
      <c r="Z168" s="110">
        <v>18.899999999999999</v>
      </c>
      <c r="AA168" s="24">
        <v>6</v>
      </c>
    </row>
    <row r="169" spans="24:27" x14ac:dyDescent="0.2">
      <c r="X169" s="24"/>
      <c r="Y169" s="24"/>
      <c r="Z169" s="112">
        <v>19</v>
      </c>
      <c r="AA169" s="24">
        <v>6</v>
      </c>
    </row>
    <row r="170" spans="24:27" x14ac:dyDescent="0.2">
      <c r="X170" s="24"/>
      <c r="Y170" s="24"/>
      <c r="Z170" s="110">
        <v>19.100000000000001</v>
      </c>
      <c r="AA170" s="24">
        <v>7</v>
      </c>
    </row>
    <row r="171" spans="24:27" x14ac:dyDescent="0.2">
      <c r="X171" s="24"/>
      <c r="Y171" s="24"/>
      <c r="Z171" s="112">
        <v>19.2</v>
      </c>
      <c r="AA171" s="24">
        <v>7</v>
      </c>
    </row>
    <row r="172" spans="24:27" x14ac:dyDescent="0.2">
      <c r="X172" s="24"/>
      <c r="Y172" s="24"/>
      <c r="Z172" s="110">
        <v>19.3</v>
      </c>
      <c r="AA172" s="24">
        <v>7</v>
      </c>
    </row>
    <row r="173" spans="24:27" x14ac:dyDescent="0.2">
      <c r="X173" s="24"/>
      <c r="Y173" s="24"/>
      <c r="Z173" s="112">
        <v>19.399999999999999</v>
      </c>
      <c r="AA173" s="24">
        <v>7</v>
      </c>
    </row>
    <row r="174" spans="24:27" x14ac:dyDescent="0.2">
      <c r="X174" s="24"/>
      <c r="Y174" s="24"/>
      <c r="Z174" s="110">
        <v>19.5</v>
      </c>
      <c r="AA174" s="24">
        <v>7</v>
      </c>
    </row>
    <row r="175" spans="24:27" x14ac:dyDescent="0.2">
      <c r="X175" s="24"/>
      <c r="Y175" s="24"/>
      <c r="Z175" s="112">
        <v>19.600000000000001</v>
      </c>
      <c r="AA175" s="24">
        <v>7</v>
      </c>
    </row>
    <row r="176" spans="24:27" x14ac:dyDescent="0.2">
      <c r="X176" s="24"/>
      <c r="Y176" s="24"/>
      <c r="Z176" s="110">
        <v>19.7</v>
      </c>
      <c r="AA176" s="24">
        <v>7</v>
      </c>
    </row>
    <row r="177" spans="26:27" x14ac:dyDescent="0.2">
      <c r="Z177" s="112">
        <v>19.8</v>
      </c>
      <c r="AA177" s="24">
        <v>7</v>
      </c>
    </row>
    <row r="178" spans="26:27" x14ac:dyDescent="0.2">
      <c r="Z178" s="110">
        <v>19.899999999999999</v>
      </c>
      <c r="AA178" s="24">
        <v>7</v>
      </c>
    </row>
    <row r="179" spans="26:27" x14ac:dyDescent="0.2">
      <c r="Z179" s="112">
        <v>20</v>
      </c>
      <c r="AA179" s="24">
        <v>7</v>
      </c>
    </row>
    <row r="180" spans="26:27" x14ac:dyDescent="0.2">
      <c r="Z180" s="110">
        <v>20.100000000000001</v>
      </c>
      <c r="AA180" s="24">
        <v>7</v>
      </c>
    </row>
    <row r="181" spans="26:27" x14ac:dyDescent="0.2">
      <c r="Z181" s="112">
        <v>20.2</v>
      </c>
      <c r="AA181" s="24">
        <v>7</v>
      </c>
    </row>
    <row r="182" spans="26:27" x14ac:dyDescent="0.2">
      <c r="Z182" s="110">
        <v>20.3</v>
      </c>
      <c r="AA182" s="24">
        <v>7</v>
      </c>
    </row>
    <row r="183" spans="26:27" x14ac:dyDescent="0.2">
      <c r="Z183" s="112">
        <v>20.399999999999999</v>
      </c>
      <c r="AA183" s="24">
        <v>7</v>
      </c>
    </row>
    <row r="184" spans="26:27" x14ac:dyDescent="0.2">
      <c r="Z184" s="110">
        <v>20.5</v>
      </c>
      <c r="AA184" s="24">
        <v>7</v>
      </c>
    </row>
    <row r="185" spans="26:27" x14ac:dyDescent="0.2">
      <c r="Z185" s="112">
        <v>20.6</v>
      </c>
      <c r="AA185" s="24">
        <v>7</v>
      </c>
    </row>
    <row r="186" spans="26:27" x14ac:dyDescent="0.2">
      <c r="Z186" s="110">
        <v>20.7</v>
      </c>
      <c r="AA186" s="24">
        <v>7</v>
      </c>
    </row>
    <row r="187" spans="26:27" x14ac:dyDescent="0.2">
      <c r="Z187" s="112">
        <v>20.8</v>
      </c>
      <c r="AA187" s="24">
        <v>7</v>
      </c>
    </row>
    <row r="188" spans="26:27" x14ac:dyDescent="0.2">
      <c r="Z188" s="110">
        <v>20.9</v>
      </c>
      <c r="AA188" s="24">
        <v>7</v>
      </c>
    </row>
    <row r="189" spans="26:27" x14ac:dyDescent="0.2">
      <c r="Z189" s="112">
        <v>21</v>
      </c>
      <c r="AA189" s="24">
        <v>7</v>
      </c>
    </row>
    <row r="190" spans="26:27" x14ac:dyDescent="0.2">
      <c r="Z190" s="110">
        <v>21.1</v>
      </c>
      <c r="AA190" s="24">
        <v>7</v>
      </c>
    </row>
    <row r="191" spans="26:27" x14ac:dyDescent="0.2">
      <c r="Z191" s="112">
        <v>21.2</v>
      </c>
      <c r="AA191" s="24">
        <v>7</v>
      </c>
    </row>
    <row r="192" spans="26:27" x14ac:dyDescent="0.2">
      <c r="Z192" s="110">
        <v>21.3</v>
      </c>
      <c r="AA192" s="24">
        <v>7</v>
      </c>
    </row>
    <row r="193" spans="26:27" x14ac:dyDescent="0.2">
      <c r="Z193" s="112">
        <v>21.4</v>
      </c>
      <c r="AA193" s="24">
        <v>7</v>
      </c>
    </row>
    <row r="194" spans="26:27" x14ac:dyDescent="0.2">
      <c r="Z194" s="110">
        <v>21.5</v>
      </c>
      <c r="AA194" s="24">
        <v>7</v>
      </c>
    </row>
    <row r="195" spans="26:27" x14ac:dyDescent="0.2">
      <c r="Z195" s="112">
        <v>21.6</v>
      </c>
      <c r="AA195" s="24">
        <v>7</v>
      </c>
    </row>
    <row r="196" spans="26:27" x14ac:dyDescent="0.2">
      <c r="Z196" s="110">
        <v>21.7</v>
      </c>
      <c r="AA196" s="24">
        <v>7</v>
      </c>
    </row>
    <row r="197" spans="26:27" x14ac:dyDescent="0.2">
      <c r="Z197" s="112">
        <v>21.8</v>
      </c>
      <c r="AA197" s="24">
        <v>7</v>
      </c>
    </row>
    <row r="198" spans="26:27" x14ac:dyDescent="0.2">
      <c r="Z198" s="110">
        <v>21.9</v>
      </c>
      <c r="AA198" s="24">
        <v>7</v>
      </c>
    </row>
    <row r="199" spans="26:27" x14ac:dyDescent="0.2">
      <c r="Z199" s="112">
        <v>22</v>
      </c>
      <c r="AA199" s="24">
        <v>7</v>
      </c>
    </row>
    <row r="200" spans="26:27" x14ac:dyDescent="0.2">
      <c r="Z200" s="110">
        <v>22.1</v>
      </c>
      <c r="AA200" s="24">
        <v>7</v>
      </c>
    </row>
    <row r="201" spans="26:27" x14ac:dyDescent="0.2">
      <c r="Z201" s="112">
        <v>22.2</v>
      </c>
      <c r="AA201" s="24">
        <v>7</v>
      </c>
    </row>
    <row r="202" spans="26:27" x14ac:dyDescent="0.2">
      <c r="Z202" s="110">
        <v>22.3</v>
      </c>
      <c r="AA202" s="24">
        <v>7</v>
      </c>
    </row>
    <row r="203" spans="26:27" x14ac:dyDescent="0.2">
      <c r="Z203" s="112">
        <v>22.4</v>
      </c>
      <c r="AA203" s="24">
        <v>7</v>
      </c>
    </row>
    <row r="204" spans="26:27" x14ac:dyDescent="0.2">
      <c r="Z204" s="110">
        <v>22.5</v>
      </c>
      <c r="AA204" s="24">
        <v>7</v>
      </c>
    </row>
    <row r="205" spans="26:27" x14ac:dyDescent="0.2">
      <c r="Z205" s="112">
        <v>22.6</v>
      </c>
      <c r="AA205" s="24">
        <v>7</v>
      </c>
    </row>
    <row r="206" spans="26:27" x14ac:dyDescent="0.2">
      <c r="Z206" s="110">
        <v>22.7</v>
      </c>
      <c r="AA206" s="24">
        <v>7</v>
      </c>
    </row>
    <row r="207" spans="26:27" x14ac:dyDescent="0.2">
      <c r="Z207" s="112">
        <v>22.8</v>
      </c>
      <c r="AA207" s="24">
        <v>7</v>
      </c>
    </row>
    <row r="208" spans="26:27" x14ac:dyDescent="0.2">
      <c r="Z208" s="110">
        <v>22.9</v>
      </c>
      <c r="AA208" s="24">
        <v>7</v>
      </c>
    </row>
    <row r="209" spans="26:27" x14ac:dyDescent="0.2">
      <c r="Z209" s="112">
        <v>23</v>
      </c>
      <c r="AA209" s="24">
        <v>7</v>
      </c>
    </row>
  </sheetData>
  <phoneticPr fontId="1" type="noConversion"/>
  <pageMargins left="0.75" right="0.75" top="1" bottom="1" header="0.5" footer="0.5"/>
  <pageSetup paperSize="9" orientation="portrait" horizontalDpi="360" verticalDpi="360" r:id="rId1"/>
  <headerFooter alignWithMargins="0"/>
  <ignoredErrors>
    <ignoredError sqref="O11:O12 O14 O16 O18 O20" formula="1"/>
  </ignoredErrors>
  <legacyDrawing r:id="rId2"/>
</worksheet>
</file>

<file path=docMetadata/LabelInfo.xml><?xml version="1.0" encoding="utf-8"?>
<clbl:labelList xmlns:clbl="http://schemas.microsoft.com/office/2020/mipLabelMetadata">
  <clbl:label id="{247acc34-5011-4832-85e6-4d28a09e4a0b}" enabled="1" method="Privileged" siteId="{a12ce54b-3d3d-4346-95ef-ff13ca5dd47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Introduction To Calculator</vt:lpstr>
      <vt:lpstr>How to use SSTC</vt:lpstr>
      <vt:lpstr>Data Entry</vt:lpstr>
      <vt:lpstr>Graph</vt:lpstr>
      <vt:lpstr>Storage calculator</vt:lpstr>
      <vt:lpstr>GermMatrix</vt:lpstr>
      <vt:lpstr>InsectMatrix</vt:lpstr>
      <vt:lpstr>MiteMatrix</vt:lpstr>
      <vt:lpstr>MouldMatrix</vt:lpstr>
      <vt:lpstr>'Data Entry'!Print_Area</vt:lpstr>
      <vt:lpstr>Graph!Print_Area</vt:lpstr>
      <vt:lpstr>'How to use SSTC'!Print_Area</vt:lpstr>
      <vt:lpstr>'Introduction To Calculator'!Print_Area</vt:lpstr>
    </vt:vector>
  </TitlesOfParts>
  <Manager>AHDB</Manager>
  <Company>Imperial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 Storage Time Calculator (SSTC)</dc:title>
  <dc:subject/>
  <dc:creator>J. Knight</dc:creator>
  <cp:keywords>Calculator</cp:keywords>
  <dc:description>The safe storage time calculator was developed as part of an AHDB-funded project lead by Jon Knight (Imperial College London), David Armitage (Central Science Laboratory) and Robin Wilkin. This version 1.1 (revised in spring 2006 and rebranded in 2026).</dc:description>
  <cp:lastModifiedBy>Jo Hawke</cp:lastModifiedBy>
  <cp:revision/>
  <cp:lastPrinted>2025-09-10T09:44:52Z</cp:lastPrinted>
  <dcterms:created xsi:type="dcterms:W3CDTF">2004-12-08T09:42:12Z</dcterms:created>
  <dcterms:modified xsi:type="dcterms:W3CDTF">2026-07-10T14:36:42Z</dcterms:modified>
  <cp:category/>
  <cp:contentStatus/>
</cp:coreProperties>
</file>